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113" authorId="0">
      <text>
        <r>
          <rPr>
            <b/>
            <sz val="9"/>
            <color indexed="8"/>
            <rFont val="Tahoma"/>
            <family val="2"/>
          </rPr>
          <t xml:space="preserve">skarbnik: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<sst xmlns="http://schemas.openxmlformats.org/spreadsheetml/2006/main" count="5590" uniqueCount="486">
  <si>
    <t>WIELOLETNIA PROGNOZA FINANSOWA  MIASTA BRZEZINY NA LATA 2016-2019                                                                                         WRAZ Z PROGNOZĄ DŁUGU NA LATA 2016-2024</t>
  </si>
  <si>
    <t xml:space="preserve">Wykonanie </t>
  </si>
  <si>
    <t>Plan 3 kw.</t>
  </si>
  <si>
    <t>Załącznik Nr 1 do Uchwały Nr XXX/192/2016           Rady Miasta Brzeziny z dnia 29 września 2016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</si>
  <si>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</si>
  <si>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</si>
  <si>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</si>
  <si>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</si>
  <si>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</si>
  <si>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</si>
  <si>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</si>
  <si>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</si>
  <si>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</si>
  <si>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</si>
  <si>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</si>
  <si>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</si>
  <si>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</si>
  <si>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</si>
  <si>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</si>
  <si>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</si>
  <si>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</si>
  <si>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</si>
  <si>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</si>
  <si>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</si>
  <si>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</si>
  <si>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</si>
  <si>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</si>
  <si>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</si>
  <si>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</si>
  <si>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</si>
  <si>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</si>
  <si>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</si>
  <si>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</si>
  <si>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</si>
  <si>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</si>
  <si>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</si>
  <si>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</si>
  <si>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</si>
  <si>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</si>
  <si>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</si>
  <si>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</si>
  <si>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</si>
  <si>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</si>
  <si>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</si>
  <si>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</si>
  <si>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</si>
  <si>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</si>
  <si>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</si>
  <si>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</si>
  <si>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</si>
  <si>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</si>
  <si>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</si>
  <si>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</si>
  <si>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</si>
  <si>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</si>
  <si>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</si>
  <si>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</si>
  <si>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</si>
  <si>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</si>
  <si>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</si>
  <si>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</si>
  <si>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</si>
  <si>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</si>
  <si>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</si>
  <si>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</si>
  <si>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</si>
  <si>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</si>
  <si>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</si>
  <si>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</si>
  <si>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</si>
  <si>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</si>
  <si>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</si>
  <si>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</si>
  <si>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</si>
  <si>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</si>
  <si>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</si>
  <si>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</si>
  <si>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</si>
  <si>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</si>
  <si>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</si>
  <si>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</si>
  <si>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</si>
  <si>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</si>
  <si>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</si>
  <si>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</si>
  <si>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</si>
  <si>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</si>
  <si>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</si>
  <si>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</si>
  <si>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</si>
  <si>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</si>
  <si>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</si>
  <si>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</si>
  <si>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</si>
  <si>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</si>
  <si>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</si>
  <si>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</si>
  <si>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</si>
  <si>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</si>
  <si>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</si>
  <si>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</si>
  <si>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</si>
  <si>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</si>
  <si>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</si>
  <si>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</si>
  <si>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</si>
  <si>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</si>
  <si>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</si>
  <si>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</si>
  <si>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</si>
  <si>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</si>
  <si>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</si>
  <si>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</si>
  <si>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</si>
  <si>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</si>
  <si>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</si>
  <si>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</si>
  <si>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</si>
  <si>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</si>
  <si>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</si>
  <si>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</si>
  <si>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</si>
  <si>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</si>
  <si>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</si>
  <si>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</si>
  <si>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</si>
  <si>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</si>
  <si>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</si>
  <si>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</si>
  <si>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</si>
  <si>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</si>
  <si>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</si>
  <si>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</si>
  <si>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</si>
  <si>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</si>
  <si>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</si>
  <si>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</si>
  <si>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</si>
  <si>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</si>
  <si>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</si>
  <si>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</si>
  <si>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</si>
  <si>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</si>
  <si>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</si>
  <si>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</si>
  <si>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</si>
  <si>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</si>
  <si>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</si>
  <si>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</si>
  <si>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</si>
  <si>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</si>
  <si>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</si>
  <si>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</si>
  <si>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</si>
  <si>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</si>
  <si>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</si>
  <si>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</si>
  <si>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</si>
  <si>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</si>
  <si>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</si>
  <si>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</si>
  <si>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</si>
  <si>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</si>
  <si>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</si>
  <si>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</si>
  <si>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</si>
  <si>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</si>
  <si>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</si>
  <si>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</si>
  <si>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</si>
  <si>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</si>
  <si>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</si>
  <si>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</si>
  <si>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</si>
  <si>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</si>
  <si>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</si>
  <si>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</si>
  <si>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</si>
  <si>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</si>
  <si>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</si>
  <si>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</si>
  <si>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</si>
  <si>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</si>
  <si>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</si>
  <si>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</si>
  <si>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</si>
  <si>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</si>
  <si>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</si>
  <si>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</si>
  <si>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</si>
  <si>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</si>
  <si>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</si>
  <si>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</si>
  <si>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</si>
  <si>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</si>
  <si>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</si>
  <si>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</si>
  <si>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</si>
  <si>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</si>
  <si>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</si>
  <si>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</si>
  <si>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</si>
  <si>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</si>
  <si>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</si>
  <si>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</si>
  <si>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</si>
  <si>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</si>
  <si>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</si>
  <si>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</si>
  <si>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</si>
  <si>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</si>
  <si>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</si>
  <si>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</si>
  <si>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</si>
  <si>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</si>
  <si>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</si>
  <si>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</si>
  <si>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</si>
  <si>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</si>
  <si>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</si>
  <si>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</si>
  <si>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</si>
  <si>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</si>
  <si>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</si>
  <si>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</si>
  <si>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</si>
  <si>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</si>
  <si>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</si>
  <si>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</si>
  <si>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</si>
  <si>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</si>
  <si>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</si>
  <si>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</si>
  <si>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</si>
  <si>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</si>
  <si>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</si>
  <si>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</si>
  <si>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</si>
  <si>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</si>
  <si>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</si>
  <si>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</si>
  <si>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</si>
  <si>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</si>
  <si>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</si>
  <si>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</si>
  <si>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</si>
  <si>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</si>
  <si>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</si>
  <si>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</si>
  <si>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</si>
  <si>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</si>
  <si>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</si>
  <si>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</si>
  <si>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</si>
  <si>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</si>
  <si>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</si>
  <si>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</si>
  <si>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</si>
  <si>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</si>
  <si>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</si>
  <si>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</si>
  <si>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</si>
  <si>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</si>
  <si>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</si>
  <si>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</si>
  <si>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</si>
  <si>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</si>
  <si>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</si>
  <si>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</si>
  <si>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</si>
  <si>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</si>
  <si>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</si>
  <si>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</si>
  <si>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</si>
  <si>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</si>
  <si>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</si>
  <si>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</si>
  <si>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</si>
  <si>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</si>
  <si>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10"/>
        <color indexed="8"/>
        <rFont val="Times New Roman"/>
        <family val="1"/>
      </rPr>
      <t xml:space="preserve">Stopień niezachowania relacji określonych w art. 242-244 ustawy 
</t>
    </r>
    <r>
      <rPr>
        <b/>
        <sz val="10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</si>
  <si>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</si>
  <si>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</si>
  <si>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</si>
  <si>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</si>
  <si>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</si>
  <si>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</si>
  <si>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</si>
  <si>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Grzegorz Kędzia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</si>
  <si>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</si>
  <si>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</si>
  <si>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</si>
  <si>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</si>
  <si>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</si>
  <si>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</si>
  <si>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</si>
  <si>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</si>
  <si>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</si>
  <si>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</si>
  <si>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</si>
  <si>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</si>
  <si>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</si>
  <si>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</si>
  <si>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</si>
  <si>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</si>
  <si>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</si>
  <si>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</si>
  <si>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</si>
  <si>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</si>
  <si>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</si>
  <si>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</si>
  <si>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</si>
  <si>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</si>
  <si>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</si>
  <si>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</si>
  <si>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</si>
  <si>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</si>
  <si>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</si>
  <si>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</si>
  <si>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</si>
  <si>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</si>
  <si>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</si>
  <si>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</si>
  <si>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</si>
  <si>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</si>
  <si>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</si>
  <si>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</si>
  <si>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</si>
  <si>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</si>
  <si>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</si>
  <si>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</si>
  <si>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</si>
  <si>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</si>
  <si>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</si>
  <si>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</si>
  <si>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</si>
  <si>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</si>
  <si>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</si>
  <si>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</si>
  <si>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</si>
  <si>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</si>
  <si>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</si>
  <si>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</si>
  <si>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</si>
  <si>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</si>
  <si>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</si>
  <si>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</si>
  <si>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</si>
  <si>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</si>
  <si>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</si>
  <si>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</si>
  <si>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</si>
  <si>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</si>
  <si>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</si>
  <si>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</si>
  <si>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</si>
  <si>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</si>
  <si>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</si>
  <si>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</si>
  <si>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</si>
  <si>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</si>
  <si>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</si>
  <si>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</si>
  <si>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</si>
  <si>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</si>
  <si>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</si>
  <si>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</si>
  <si>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</si>
  <si>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</si>
  <si>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</si>
  <si>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</si>
  <si>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</si>
  <si>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</si>
  <si>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</si>
  <si>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</si>
  <si>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</si>
  <si>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</si>
  <si>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</si>
  <si>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</si>
  <si>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</si>
  <si>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</si>
  <si>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</si>
  <si>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</si>
  <si>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</si>
  <si>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</si>
  <si>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</si>
  <si>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</si>
  <si>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</si>
  <si>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</si>
  <si>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</si>
  <si>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</si>
  <si>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</si>
  <si>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</si>
  <si>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</si>
  <si>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</si>
  <si>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</si>
  <si>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</si>
  <si>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</si>
  <si>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</si>
  <si>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</si>
  <si>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</si>
  <si>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</si>
  <si>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</si>
  <si>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</si>
  <si>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</si>
  <si>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</si>
  <si>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</si>
  <si>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</si>
  <si>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</si>
  <si>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</si>
  <si>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</si>
  <si>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</si>
  <si>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</si>
  <si>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</si>
  <si>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</si>
  <si>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</si>
  <si>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</si>
  <si>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</si>
  <si>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</si>
  <si>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</si>
  <si>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</si>
  <si>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</si>
  <si>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</si>
  <si>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</si>
  <si>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</si>
  <si>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</si>
  <si>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</si>
  <si>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</si>
  <si>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</si>
  <si>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</si>
  <si>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</si>
  <si>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</si>
  <si>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</si>
  <si>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</si>
  <si>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</si>
  <si>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</si>
  <si>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</si>
  <si>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</si>
  <si>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</si>
  <si>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</si>
  <si>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</si>
  <si>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</si>
  <si>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</si>
  <si>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</si>
  <si>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</si>
  <si>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</si>
  <si>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</si>
  <si>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</si>
  <si>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</si>
  <si>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</si>
  <si>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</si>
  <si>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</si>
  <si>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</si>
  <si>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</si>
  <si>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</si>
  <si>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</si>
  <si>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</si>
  <si>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</si>
  <si>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</si>
  <si>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</si>
  <si>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</si>
  <si>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</si>
  <si>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</si>
  <si>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</si>
  <si>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</si>
  <si>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</si>
  <si>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</si>
  <si>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</si>
  <si>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</si>
  <si>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</si>
  <si>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</si>
  <si>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</si>
  <si>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</si>
  <si>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</si>
  <si>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</si>
  <si>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</si>
  <si>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</si>
  <si>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29.09.2016r.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</si>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</sst>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6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2" fillId="0" borderId="34" xfId="103" applyFont="1" applyBorder="1" applyAlignment="1">
      <alignment horizontal="left" vertical="center"/>
      <protection/>
    </xf>
    <xf numFmtId="164" fontId="42" fillId="0" borderId="0" xfId="0" applyFont="1" applyBorder="1" applyAlignment="1" applyProtection="1">
      <alignment horizontal="left" vertical="center"/>
      <protection locked="0"/>
    </xf>
    <xf numFmtId="164" fontId="42" fillId="0" borderId="35" xfId="103" applyFont="1" applyBorder="1" applyAlignment="1">
      <alignment horizontal="left" vertical="center" wrapText="1" indent="1"/>
      <protection/>
    </xf>
    <xf numFmtId="168" fontId="42" fillId="20" borderId="34" xfId="99" applyNumberFormat="1" applyFont="1" applyFill="1" applyBorder="1" applyAlignment="1">
      <alignment horizontal="center" vertical="center" shrinkToFit="1"/>
      <protection/>
    </xf>
    <xf numFmtId="168" fontId="42" fillId="20" borderId="36" xfId="99" applyNumberFormat="1" applyFont="1" applyFill="1" applyBorder="1" applyAlignment="1">
      <alignment horizontal="center" vertical="center" shrinkToFit="1"/>
      <protection/>
    </xf>
    <xf numFmtId="168" fontId="42" fillId="20" borderId="37" xfId="99" applyNumberFormat="1" applyFont="1" applyFill="1" applyBorder="1" applyAlignment="1">
      <alignment horizontal="center" vertical="center" shrinkToFit="1"/>
      <protection/>
    </xf>
    <xf numFmtId="168" fontId="42" fillId="0" borderId="38" xfId="99" applyNumberFormat="1" applyFont="1" applyFill="1" applyBorder="1" applyAlignment="1">
      <alignment vertical="center" shrinkToFit="1"/>
      <protection/>
    </xf>
    <xf numFmtId="164" fontId="42" fillId="0" borderId="17" xfId="103" applyFont="1" applyBorder="1" applyAlignment="1">
      <alignment horizontal="left" vertical="center"/>
      <protection/>
    </xf>
    <xf numFmtId="164" fontId="42" fillId="0" borderId="18" xfId="103" applyFont="1" applyBorder="1" applyAlignment="1">
      <alignment horizontal="left" vertical="center" wrapText="1" indent="1"/>
      <protection/>
    </xf>
    <xf numFmtId="168" fontId="42" fillId="20" borderId="17" xfId="99" applyNumberFormat="1" applyFont="1" applyFill="1" applyBorder="1" applyAlignment="1">
      <alignment horizontal="center" vertical="center" shrinkToFit="1"/>
      <protection/>
    </xf>
    <xf numFmtId="168" fontId="42" fillId="20" borderId="20" xfId="99" applyNumberFormat="1" applyFont="1" applyFill="1" applyBorder="1" applyAlignment="1">
      <alignment horizontal="center" vertical="center" shrinkToFit="1"/>
      <protection/>
    </xf>
    <xf numFmtId="168" fontId="42" fillId="20" borderId="21" xfId="99" applyNumberFormat="1" applyFont="1" applyFill="1" applyBorder="1" applyAlignment="1">
      <alignment horizontal="center" vertical="center" shrinkToFit="1"/>
      <protection/>
    </xf>
    <xf numFmtId="170" fontId="42" fillId="0" borderId="22" xfId="107" applyNumberFormat="1" applyFont="1" applyFill="1" applyBorder="1" applyAlignment="1" applyProtection="1">
      <alignment vertical="center" shrinkToFit="1"/>
      <protection/>
    </xf>
    <xf numFmtId="164" fontId="42" fillId="0" borderId="40" xfId="103" applyFont="1" applyBorder="1" applyAlignment="1">
      <alignment horizontal="left" vertical="center"/>
      <protection/>
    </xf>
    <xf numFmtId="164" fontId="42" fillId="0" borderId="10" xfId="0" applyFont="1" applyBorder="1" applyAlignment="1" applyProtection="1">
      <alignment horizontal="left" vertical="center"/>
      <protection locked="0"/>
    </xf>
    <xf numFmtId="164" fontId="42" fillId="0" borderId="41" xfId="103" applyFont="1" applyBorder="1" applyAlignment="1">
      <alignment horizontal="left" vertical="center" wrapText="1" indent="1"/>
      <protection/>
    </xf>
    <xf numFmtId="168" fontId="42" fillId="20" borderId="40" xfId="99" applyNumberFormat="1" applyFont="1" applyFill="1" applyBorder="1" applyAlignment="1">
      <alignment horizontal="center" vertical="center" shrinkToFit="1"/>
      <protection/>
    </xf>
    <xf numFmtId="168" fontId="42" fillId="20" borderId="42" xfId="99" applyNumberFormat="1" applyFont="1" applyFill="1" applyBorder="1" applyAlignment="1">
      <alignment horizontal="center" vertical="center" shrinkToFit="1"/>
      <protection/>
    </xf>
    <xf numFmtId="168" fontId="42" fillId="20" borderId="43" xfId="99" applyNumberFormat="1" applyFont="1" applyFill="1" applyBorder="1" applyAlignment="1">
      <alignment horizontal="center" vertical="center" shrinkToFit="1"/>
      <protection/>
    </xf>
    <xf numFmtId="170" fontId="42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horizontal="left" vertical="center"/>
      <protection locked="0"/>
    </xf>
    <xf numFmtId="164" fontId="44" fillId="0" borderId="0" xfId="0" applyFont="1" applyBorder="1" applyAlignment="1" applyProtection="1">
      <alignment horizontal="left" vertical="center" wrapText="1"/>
      <protection locked="0"/>
    </xf>
    <xf numFmtId="164" fontId="46" fillId="0" borderId="0" xfId="0" applyFont="1" applyFill="1" applyBorder="1" applyAlignment="1" applyProtection="1">
      <alignment horizontal="left" vertical="center"/>
      <protection locked="0"/>
    </xf>
    <xf numFmtId="164" fontId="46" fillId="19" borderId="0" xfId="0" applyFont="1" applyFill="1" applyBorder="1" applyAlignment="1" applyProtection="1">
      <alignment horizontal="left" vertical="center" wrapText="1"/>
      <protection locked="0"/>
    </xf>
    <xf numFmtId="164" fontId="46" fillId="11" borderId="0" xfId="0" applyFont="1" applyFill="1" applyBorder="1" applyAlignment="1" applyProtection="1">
      <alignment horizontal="left" vertical="center" wrapText="1"/>
      <protection locked="0"/>
    </xf>
    <xf numFmtId="164" fontId="46" fillId="24" borderId="0" xfId="0" applyFont="1" applyFill="1" applyBorder="1" applyAlignment="1" applyProtection="1">
      <alignment horizontal="left" vertical="center" wrapText="1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46" xfId="102" applyFont="1" applyBorder="1" applyAlignment="1">
      <alignment vertical="center"/>
      <protection/>
    </xf>
    <xf numFmtId="164" fontId="49" fillId="0" borderId="12" xfId="102" applyFont="1" applyBorder="1" applyAlignment="1">
      <alignment vertical="center"/>
      <protection/>
    </xf>
    <xf numFmtId="164" fontId="46" fillId="19" borderId="13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horizontal="center" vertical="center" wrapText="1"/>
    </xf>
    <xf numFmtId="164" fontId="46" fillId="20" borderId="14" xfId="0" applyFont="1" applyFill="1" applyBorder="1" applyAlignment="1">
      <alignment horizontal="center" vertical="center" wrapText="1"/>
    </xf>
    <xf numFmtId="164" fontId="46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49" fillId="0" borderId="18" xfId="102" applyFont="1" applyBorder="1" applyAlignment="1">
      <alignment vertical="center"/>
      <protection/>
    </xf>
    <xf numFmtId="164" fontId="46" fillId="19" borderId="19" xfId="0" applyFont="1" applyFill="1" applyBorder="1" applyAlignment="1">
      <alignment horizontal="left" vertical="center" wrapText="1"/>
    </xf>
    <xf numFmtId="164" fontId="46" fillId="20" borderId="17" xfId="0" applyFont="1" applyFill="1" applyBorder="1" applyAlignment="1">
      <alignment horizontal="center" vertical="center" wrapText="1"/>
    </xf>
    <xf numFmtId="164" fontId="46" fillId="20" borderId="20" xfId="0" applyFont="1" applyFill="1" applyBorder="1" applyAlignment="1">
      <alignment horizontal="center" vertical="center" wrapText="1"/>
    </xf>
    <xf numFmtId="164" fontId="46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6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51" fillId="0" borderId="18" xfId="102" applyFont="1" applyBorder="1" applyAlignment="1">
      <alignment vertical="center"/>
      <protection/>
    </xf>
    <xf numFmtId="164" fontId="46" fillId="20" borderId="17" xfId="0" applyFont="1" applyFill="1" applyBorder="1" applyAlignment="1">
      <alignment horizontal="center" vertical="center"/>
    </xf>
    <xf numFmtId="164" fontId="46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49" fillId="0" borderId="41" xfId="102" applyFont="1" applyBorder="1" applyAlignment="1">
      <alignment vertical="center"/>
      <protection/>
    </xf>
    <xf numFmtId="164" fontId="46" fillId="24" borderId="49" xfId="0" applyFont="1" applyFill="1" applyBorder="1" applyAlignment="1">
      <alignment horizontal="left" vertical="center" wrapText="1"/>
    </xf>
    <xf numFmtId="164" fontId="46" fillId="20" borderId="40" xfId="0" applyFont="1" applyFill="1" applyBorder="1" applyAlignment="1">
      <alignment horizontal="center" vertical="center" wrapText="1"/>
    </xf>
    <xf numFmtId="164" fontId="46" fillId="20" borderId="42" xfId="0" applyFont="1" applyFill="1" applyBorder="1" applyAlignment="1">
      <alignment horizontal="center" vertical="center" wrapText="1"/>
    </xf>
    <xf numFmtId="164" fontId="46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4" fillId="0" borderId="0" xfId="0" applyFont="1" applyBorder="1" applyAlignment="1">
      <alignment horizontal="center" vertical="center"/>
    </xf>
    <xf numFmtId="164" fontId="44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2" fillId="0" borderId="0" xfId="0" applyFont="1" applyAlignment="1">
      <alignment/>
    </xf>
    <xf numFmtId="164" fontId="52" fillId="0" borderId="0" xfId="0" applyFont="1" applyAlignment="1">
      <alignment/>
    </xf>
    <xf numFmtId="164" fontId="42" fillId="6" borderId="46" xfId="0" applyFont="1" applyFill="1" applyBorder="1" applyAlignment="1">
      <alignment vertical="center"/>
    </xf>
    <xf numFmtId="171" fontId="42" fillId="20" borderId="11" xfId="0" applyNumberFormat="1" applyFont="1" applyFill="1" applyBorder="1" applyAlignment="1">
      <alignment vertical="center"/>
    </xf>
    <xf numFmtId="171" fontId="42" fillId="20" borderId="14" xfId="0" applyNumberFormat="1" applyFont="1" applyFill="1" applyBorder="1" applyAlignment="1">
      <alignment vertical="center"/>
    </xf>
    <xf numFmtId="171" fontId="42" fillId="20" borderId="15" xfId="0" applyNumberFormat="1" applyFont="1" applyFill="1" applyBorder="1" applyAlignment="1">
      <alignment vertical="center"/>
    </xf>
    <xf numFmtId="171" fontId="42" fillId="0" borderId="16" xfId="0" applyNumberFormat="1" applyFont="1" applyBorder="1" applyAlignment="1">
      <alignment vertical="center"/>
    </xf>
    <xf numFmtId="171" fontId="42" fillId="0" borderId="14" xfId="0" applyNumberFormat="1" applyFont="1" applyBorder="1" applyAlignment="1">
      <alignment vertical="center"/>
    </xf>
    <xf numFmtId="164" fontId="42" fillId="6" borderId="47" xfId="0" applyFont="1" applyFill="1" applyBorder="1" applyAlignment="1">
      <alignment vertical="center"/>
    </xf>
    <xf numFmtId="171" fontId="42" fillId="20" borderId="17" xfId="0" applyNumberFormat="1" applyFont="1" applyFill="1" applyBorder="1" applyAlignment="1">
      <alignment vertical="center"/>
    </xf>
    <xf numFmtId="171" fontId="42" fillId="20" borderId="20" xfId="0" applyNumberFormat="1" applyFont="1" applyFill="1" applyBorder="1" applyAlignment="1">
      <alignment vertical="center"/>
    </xf>
    <xf numFmtId="171" fontId="42" fillId="20" borderId="21" xfId="0" applyNumberFormat="1" applyFont="1" applyFill="1" applyBorder="1" applyAlignment="1">
      <alignment vertical="center"/>
    </xf>
    <xf numFmtId="171" fontId="42" fillId="0" borderId="22" xfId="0" applyNumberFormat="1" applyFont="1" applyBorder="1" applyAlignment="1">
      <alignment vertical="center"/>
    </xf>
    <xf numFmtId="171" fontId="42" fillId="0" borderId="20" xfId="0" applyNumberFormat="1" applyFont="1" applyBorder="1" applyAlignment="1">
      <alignment vertical="center"/>
    </xf>
    <xf numFmtId="164" fontId="53" fillId="6" borderId="47" xfId="0" applyFont="1" applyFill="1" applyBorder="1" applyAlignment="1">
      <alignment horizontal="left" vertical="center" wrapText="1"/>
    </xf>
    <xf numFmtId="171" fontId="42" fillId="20" borderId="17" xfId="0" applyNumberFormat="1" applyFont="1" applyFill="1" applyBorder="1" applyAlignment="1">
      <alignment horizontal="center" vertical="center"/>
    </xf>
    <xf numFmtId="171" fontId="42" fillId="20" borderId="20" xfId="0" applyNumberFormat="1" applyFont="1" applyFill="1" applyBorder="1" applyAlignment="1">
      <alignment horizontal="center" vertical="center"/>
    </xf>
    <xf numFmtId="164" fontId="53" fillId="6" borderId="48" xfId="0" applyFont="1" applyFill="1" applyBorder="1" applyAlignment="1">
      <alignment horizontal="left" vertical="center" wrapText="1"/>
    </xf>
    <xf numFmtId="171" fontId="42" fillId="20" borderId="40" xfId="0" applyNumberFormat="1" applyFont="1" applyFill="1" applyBorder="1" applyAlignment="1">
      <alignment horizontal="center" vertical="center"/>
    </xf>
    <xf numFmtId="171" fontId="42" fillId="20" borderId="42" xfId="0" applyNumberFormat="1" applyFont="1" applyFill="1" applyBorder="1" applyAlignment="1">
      <alignment vertical="center"/>
    </xf>
    <xf numFmtId="171" fontId="42" fillId="20" borderId="42" xfId="0" applyNumberFormat="1" applyFont="1" applyFill="1" applyBorder="1" applyAlignment="1">
      <alignment horizontal="center" vertical="center"/>
    </xf>
    <xf numFmtId="171" fontId="42" fillId="20" borderId="43" xfId="0" applyNumberFormat="1" applyFont="1" applyFill="1" applyBorder="1" applyAlignment="1">
      <alignment vertical="center"/>
    </xf>
    <xf numFmtId="171" fontId="42" fillId="0" borderId="44" xfId="0" applyNumberFormat="1" applyFont="1" applyBorder="1" applyAlignment="1">
      <alignment vertical="center"/>
    </xf>
    <xf numFmtId="171" fontId="42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4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5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2" fillId="0" borderId="50" xfId="0" applyFont="1" applyBorder="1" applyAlignment="1">
      <alignment/>
    </xf>
    <xf numFmtId="170" fontId="42" fillId="20" borderId="11" xfId="0" applyNumberFormat="1" applyFont="1" applyFill="1" applyBorder="1" applyAlignment="1">
      <alignment horizontal="center" vertical="center"/>
    </xf>
    <xf numFmtId="170" fontId="42" fillId="20" borderId="14" xfId="0" applyNumberFormat="1" applyFont="1" applyFill="1" applyBorder="1" applyAlignment="1">
      <alignment horizontal="center" vertical="center"/>
    </xf>
    <xf numFmtId="170" fontId="42" fillId="20" borderId="15" xfId="0" applyNumberFormat="1" applyFont="1" applyFill="1" applyBorder="1" applyAlignment="1">
      <alignment horizontal="center" vertical="center"/>
    </xf>
    <xf numFmtId="170" fontId="42" fillId="0" borderId="16" xfId="0" applyNumberFormat="1" applyFont="1" applyFill="1" applyBorder="1" applyAlignment="1">
      <alignment vertical="center"/>
    </xf>
    <xf numFmtId="170" fontId="42" fillId="0" borderId="14" xfId="0" applyNumberFormat="1" applyFont="1" applyFill="1" applyBorder="1" applyAlignment="1">
      <alignment vertical="center"/>
    </xf>
    <xf numFmtId="164" fontId="42" fillId="0" borderId="51" xfId="0" applyFont="1" applyBorder="1" applyAlignment="1">
      <alignment/>
    </xf>
    <xf numFmtId="170" fontId="42" fillId="20" borderId="40" xfId="0" applyNumberFormat="1" applyFont="1" applyFill="1" applyBorder="1" applyAlignment="1">
      <alignment horizontal="center" vertical="center"/>
    </xf>
    <xf numFmtId="170" fontId="42" fillId="20" borderId="42" xfId="0" applyNumberFormat="1" applyFont="1" applyFill="1" applyBorder="1" applyAlignment="1">
      <alignment horizontal="center" vertical="center"/>
    </xf>
    <xf numFmtId="170" fontId="42" fillId="20" borderId="43" xfId="0" applyNumberFormat="1" applyFont="1" applyFill="1" applyBorder="1" applyAlignment="1">
      <alignment horizontal="center" vertical="center"/>
    </xf>
    <xf numFmtId="170" fontId="42" fillId="0" borderId="44" xfId="0" applyNumberFormat="1" applyFont="1" applyFill="1" applyBorder="1" applyAlignment="1">
      <alignment vertical="center"/>
    </xf>
    <xf numFmtId="170" fontId="42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9" fillId="0" borderId="0" xfId="0" applyFont="1" applyAlignment="1" applyProtection="1">
      <alignment/>
      <protection locked="0"/>
    </xf>
    <xf numFmtId="164" fontId="59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4" fillId="4" borderId="0" xfId="0" applyFont="1" applyFill="1" applyBorder="1" applyAlignment="1" applyProtection="1">
      <alignment horizontal="left" vertical="center"/>
      <protection locked="0"/>
    </xf>
    <xf numFmtId="164" fontId="54" fillId="0" borderId="0" xfId="0" applyFont="1" applyAlignment="1" applyProtection="1">
      <alignment vertical="center"/>
      <protection locked="0"/>
    </xf>
    <xf numFmtId="164" fontId="54" fillId="2" borderId="0" xfId="0" applyFont="1" applyFill="1" applyBorder="1" applyAlignment="1" applyProtection="1">
      <alignment horizontal="left" vertical="center"/>
      <protection locked="0"/>
    </xf>
    <xf numFmtId="164" fontId="52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60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61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2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56" fillId="0" borderId="0" xfId="0" applyFont="1" applyBorder="1" applyAlignment="1" applyProtection="1">
      <alignment horizontal="right" vertical="center"/>
      <protection locked="0"/>
    </xf>
    <xf numFmtId="164" fontId="62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4" fontId="56" fillId="0" borderId="17" xfId="0" applyFont="1" applyBorder="1" applyAlignment="1">
      <alignment horizontal="left" vertical="center"/>
    </xf>
    <xf numFmtId="164" fontId="56" fillId="0" borderId="18" xfId="0" applyFont="1" applyBorder="1" applyAlignment="1" applyProtection="1">
      <alignment horizontal="left" vertical="center"/>
      <protection locked="0"/>
    </xf>
    <xf numFmtId="164" fontId="56" fillId="0" borderId="19" xfId="0" applyFont="1" applyBorder="1" applyAlignment="1">
      <alignment vertical="center" wrapText="1"/>
    </xf>
    <xf numFmtId="168" fontId="56" fillId="20" borderId="17" xfId="99" applyNumberFormat="1" applyFont="1" applyFill="1" applyBorder="1" applyAlignment="1" applyProtection="1">
      <alignment vertical="center" shrinkToFit="1"/>
      <protection/>
    </xf>
    <xf numFmtId="168" fontId="56" fillId="20" borderId="20" xfId="99" applyNumberFormat="1" applyFont="1" applyFill="1" applyBorder="1" applyAlignment="1" applyProtection="1">
      <alignment vertical="center" shrinkToFit="1"/>
      <protection/>
    </xf>
    <xf numFmtId="168" fontId="56" fillId="4" borderId="21" xfId="99" applyNumberFormat="1" applyFont="1" applyFill="1" applyBorder="1" applyAlignment="1" applyProtection="1">
      <alignment vertical="center" shrinkToFit="1"/>
      <protection/>
    </xf>
    <xf numFmtId="168" fontId="56" fillId="4" borderId="22" xfId="99" applyNumberFormat="1" applyFont="1" applyFill="1" applyBorder="1" applyAlignment="1" applyProtection="1">
      <alignment vertical="center" shrinkToFit="1"/>
      <protection/>
    </xf>
    <xf numFmtId="168" fontId="56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4" fontId="42" fillId="0" borderId="17" xfId="0" applyFont="1" applyBorder="1" applyAlignment="1">
      <alignment horizontal="left" vertical="center"/>
    </xf>
    <xf numFmtId="164" fontId="42" fillId="0" borderId="18" xfId="0" applyFont="1" applyBorder="1" applyAlignment="1" applyProtection="1">
      <alignment horizontal="left" vertical="center"/>
      <protection locked="0"/>
    </xf>
    <xf numFmtId="164" fontId="42" fillId="0" borderId="18" xfId="0" applyFont="1" applyBorder="1" applyAlignment="1">
      <alignment horizontal="left" vertical="center" wrapText="1" indent="1"/>
    </xf>
    <xf numFmtId="168" fontId="42" fillId="20" borderId="17" xfId="99" applyNumberFormat="1" applyFont="1" applyFill="1" applyBorder="1" applyAlignment="1" applyProtection="1">
      <alignment vertical="center" shrinkToFit="1"/>
      <protection/>
    </xf>
    <xf numFmtId="168" fontId="42" fillId="20" borderId="20" xfId="99" applyNumberFormat="1" applyFont="1" applyFill="1" applyBorder="1" applyAlignment="1" applyProtection="1">
      <alignment vertical="center" shrinkToFit="1"/>
      <protection/>
    </xf>
    <xf numFmtId="168" fontId="42" fillId="20" borderId="21" xfId="99" applyNumberFormat="1" applyFont="1" applyFill="1" applyBorder="1" applyAlignment="1" applyProtection="1">
      <alignment vertical="center" shrinkToFit="1"/>
      <protection/>
    </xf>
    <xf numFmtId="168" fontId="42" fillId="2" borderId="22" xfId="99" applyNumberFormat="1" applyFont="1" applyFill="1" applyBorder="1" applyAlignment="1" applyProtection="1">
      <alignment vertical="center" shrinkToFit="1"/>
      <protection/>
    </xf>
    <xf numFmtId="168" fontId="42" fillId="2" borderId="20" xfId="99" applyNumberFormat="1" applyFont="1" applyFill="1" applyBorder="1" applyAlignment="1" applyProtection="1">
      <alignment vertical="center" shrinkToFit="1"/>
      <protection/>
    </xf>
    <xf numFmtId="168" fontId="42" fillId="2" borderId="21" xfId="99" applyNumberFormat="1" applyFont="1" applyFill="1" applyBorder="1" applyAlignment="1" applyProtection="1">
      <alignment vertical="center" shrinkToFit="1"/>
      <protection/>
    </xf>
    <xf numFmtId="164" fontId="42" fillId="0" borderId="18" xfId="0" applyFont="1" applyBorder="1" applyAlignment="1">
      <alignment horizontal="left" vertical="center" wrapText="1" indent="2"/>
    </xf>
    <xf numFmtId="164" fontId="42" fillId="0" borderId="18" xfId="0" applyFont="1" applyBorder="1" applyAlignment="1">
      <alignment horizontal="left" vertical="center" wrapText="1" indent="3"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4" fontId="42" fillId="0" borderId="18" xfId="0" applyFont="1" applyBorder="1" applyAlignment="1">
      <alignment horizontal="left" vertical="center" wrapText="1" indent="4"/>
    </xf>
    <xf numFmtId="168" fontId="42" fillId="4" borderId="21" xfId="99" applyNumberFormat="1" applyFont="1" applyFill="1" applyBorder="1" applyAlignment="1" applyProtection="1">
      <alignment vertical="center" shrinkToFit="1"/>
      <protection/>
    </xf>
    <xf numFmtId="168" fontId="42" fillId="4" borderId="22" xfId="99" applyNumberFormat="1" applyFont="1" applyFill="1" applyBorder="1" applyAlignment="1" applyProtection="1">
      <alignment vertical="center" shrinkToFit="1"/>
      <protection/>
    </xf>
    <xf numFmtId="168" fontId="42" fillId="4" borderId="20" xfId="99" applyNumberFormat="1" applyFont="1" applyFill="1" applyBorder="1" applyAlignment="1" applyProtection="1">
      <alignment vertical="center" shrinkToFit="1"/>
      <protection/>
    </xf>
    <xf numFmtId="168" fontId="56" fillId="20" borderId="21" xfId="99" applyNumberFormat="1" applyFont="1" applyFill="1" applyBorder="1" applyAlignment="1" applyProtection="1">
      <alignment vertical="center" shrinkToFit="1"/>
      <protection/>
    </xf>
    <xf numFmtId="168" fontId="63" fillId="4" borderId="22" xfId="99" applyNumberFormat="1" applyFont="1" applyFill="1" applyBorder="1" applyAlignment="1" applyProtection="1">
      <alignment horizontal="right" vertical="center" shrinkToFit="1"/>
      <protection/>
    </xf>
    <xf numFmtId="168" fontId="63" fillId="4" borderId="20" xfId="99" applyNumberFormat="1" applyFont="1" applyFill="1" applyBorder="1" applyAlignment="1" applyProtection="1">
      <alignment horizontal="right" vertical="center" shrinkToFit="1"/>
      <protection/>
    </xf>
    <xf numFmtId="168" fontId="63" fillId="4" borderId="21" xfId="99" applyNumberFormat="1" applyFont="1" applyFill="1" applyBorder="1" applyAlignment="1" applyProtection="1">
      <alignment horizontal="right" vertical="center" shrinkToFit="1"/>
      <protection/>
    </xf>
    <xf numFmtId="168" fontId="56" fillId="2" borderId="22" xfId="99" applyNumberFormat="1" applyFont="1" applyFill="1" applyBorder="1" applyAlignment="1" applyProtection="1">
      <alignment vertical="center" shrinkToFit="1"/>
      <protection/>
    </xf>
    <xf numFmtId="168" fontId="56" fillId="2" borderId="20" xfId="99" applyNumberFormat="1" applyFont="1" applyFill="1" applyBorder="1" applyAlignment="1" applyProtection="1">
      <alignment vertical="center" shrinkToFit="1"/>
      <protection/>
    </xf>
    <xf numFmtId="168" fontId="56" fillId="2" borderId="21" xfId="99" applyNumberFormat="1" applyFont="1" applyFill="1" applyBorder="1" applyAlignment="1" applyProtection="1">
      <alignment vertical="center" shrinkToFit="1"/>
      <protection/>
    </xf>
    <xf numFmtId="168" fontId="56" fillId="20" borderId="17" xfId="99" applyNumberFormat="1" applyFont="1" applyFill="1" applyBorder="1" applyAlignment="1" applyProtection="1">
      <alignment horizontal="center" vertical="center" shrinkToFit="1"/>
      <protection/>
    </xf>
    <xf numFmtId="168" fontId="56" fillId="20" borderId="20" xfId="99" applyNumberFormat="1" applyFont="1" applyFill="1" applyBorder="1" applyAlignment="1" applyProtection="1">
      <alignment horizontal="center" vertical="center" shrinkToFit="1"/>
      <protection/>
    </xf>
    <xf numFmtId="168" fontId="56" fillId="20" borderId="21" xfId="99" applyNumberFormat="1" applyFont="1" applyFill="1" applyBorder="1" applyAlignment="1" applyProtection="1">
      <alignment horizontal="center" vertical="center" shrinkToFit="1"/>
      <protection/>
    </xf>
    <xf numFmtId="168" fontId="56" fillId="0" borderId="22" xfId="99" applyNumberFormat="1" applyFont="1" applyFill="1" applyBorder="1" applyAlignment="1" applyProtection="1">
      <alignment horizontal="center" vertical="center" shrinkToFit="1"/>
      <protection/>
    </xf>
    <xf numFmtId="168" fontId="56" fillId="0" borderId="20" xfId="99" applyNumberFormat="1" applyFont="1" applyFill="1" applyBorder="1" applyAlignment="1" applyProtection="1">
      <alignment horizontal="center" vertical="center" shrinkToFit="1"/>
      <protection/>
    </xf>
    <xf numFmtId="168" fontId="56" fillId="0" borderId="21" xfId="99" applyNumberFormat="1" applyFont="1" applyFill="1" applyBorder="1" applyAlignment="1" applyProtection="1">
      <alignment horizontal="center" vertical="center" shrinkToFit="1"/>
      <protection/>
    </xf>
    <xf numFmtId="169" fontId="42" fillId="20" borderId="17" xfId="99" applyNumberFormat="1" applyFont="1" applyFill="1" applyBorder="1" applyAlignment="1" applyProtection="1">
      <alignment vertical="center" shrinkToFit="1"/>
      <protection/>
    </xf>
    <xf numFmtId="169" fontId="42" fillId="20" borderId="20" xfId="99" applyNumberFormat="1" applyFont="1" applyFill="1" applyBorder="1" applyAlignment="1" applyProtection="1">
      <alignment vertical="center" shrinkToFit="1"/>
      <protection/>
    </xf>
    <xf numFmtId="169" fontId="42" fillId="4" borderId="21" xfId="99" applyNumberFormat="1" applyFont="1" applyFill="1" applyBorder="1" applyAlignment="1" applyProtection="1">
      <alignment horizontal="right" vertical="center" shrinkToFit="1"/>
      <protection/>
    </xf>
    <xf numFmtId="169" fontId="42" fillId="4" borderId="22" xfId="99" applyNumberFormat="1" applyFont="1" applyFill="1" applyBorder="1" applyAlignment="1" applyProtection="1">
      <alignment horizontal="right" vertical="center" shrinkToFit="1"/>
      <protection/>
    </xf>
    <xf numFmtId="169" fontId="42" fillId="4" borderId="20" xfId="99" applyNumberFormat="1" applyFont="1" applyFill="1" applyBorder="1" applyAlignment="1" applyProtection="1">
      <alignment horizontal="right" vertical="center" shrinkToFit="1"/>
      <protection/>
    </xf>
    <xf numFmtId="164" fontId="42" fillId="0" borderId="18" xfId="0" applyFont="1" applyFill="1" applyBorder="1" applyAlignment="1" applyProtection="1">
      <alignment horizontal="left" vertical="center" wrapText="1"/>
      <protection locked="0"/>
    </xf>
    <xf numFmtId="164" fontId="42" fillId="0" borderId="17" xfId="0" applyFont="1" applyBorder="1" applyAlignment="1" applyProtection="1">
      <alignment horizontal="left" vertical="center"/>
      <protection locked="0"/>
    </xf>
    <xf numFmtId="164" fontId="42" fillId="0" borderId="18" xfId="0" applyFont="1" applyFill="1" applyBorder="1" applyAlignment="1" applyProtection="1">
      <alignment horizontal="left" vertical="center"/>
      <protection locked="0"/>
    </xf>
    <xf numFmtId="164" fontId="42" fillId="0" borderId="19" xfId="0" applyFont="1" applyBorder="1" applyAlignment="1" applyProtection="1">
      <alignment horizontal="left" vertical="center" wrapText="1" indent="1"/>
      <protection locked="0"/>
    </xf>
    <xf numFmtId="169" fontId="42" fillId="4" borderId="17" xfId="99" applyNumberFormat="1" applyFont="1" applyFill="1" applyBorder="1" applyAlignment="1" applyProtection="1">
      <alignment horizontal="right" vertical="center" shrinkToFit="1"/>
      <protection/>
    </xf>
    <xf numFmtId="169" fontId="42" fillId="20" borderId="17" xfId="99" applyNumberFormat="1" applyFont="1" applyFill="1" applyBorder="1" applyAlignment="1" applyProtection="1">
      <alignment horizontal="center" vertical="center" shrinkToFit="1"/>
      <protection/>
    </xf>
    <xf numFmtId="169" fontId="42" fillId="20" borderId="20" xfId="99" applyNumberFormat="1" applyFont="1" applyFill="1" applyBorder="1" applyAlignment="1" applyProtection="1">
      <alignment horizontal="center" vertical="center" shrinkToFit="1"/>
      <protection/>
    </xf>
    <xf numFmtId="169" fontId="42" fillId="20" borderId="21" xfId="99" applyNumberFormat="1" applyFont="1" applyFill="1" applyBorder="1" applyAlignment="1" applyProtection="1">
      <alignment horizontal="center" vertical="center" shrinkToFit="1"/>
      <protection/>
    </xf>
    <xf numFmtId="164" fontId="42" fillId="4" borderId="22" xfId="99" applyNumberFormat="1" applyFont="1" applyFill="1" applyBorder="1" applyAlignment="1" applyProtection="1">
      <alignment horizontal="right" vertical="center" shrinkToFit="1"/>
      <protection/>
    </xf>
    <xf numFmtId="164" fontId="42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4" fontId="56" fillId="0" borderId="19" xfId="0" applyFont="1" applyBorder="1" applyAlignment="1">
      <alignment horizontal="left" vertical="center" wrapText="1"/>
    </xf>
    <xf numFmtId="168" fontId="53" fillId="4" borderId="22" xfId="99" applyNumberFormat="1" applyFont="1" applyFill="1" applyBorder="1" applyAlignment="1" applyProtection="1">
      <alignment vertical="center" shrinkToFit="1"/>
      <protection/>
    </xf>
    <xf numFmtId="168" fontId="53" fillId="4" borderId="20" xfId="99" applyNumberFormat="1" applyFont="1" applyFill="1" applyBorder="1" applyAlignment="1" applyProtection="1">
      <alignment vertical="center" shrinkToFit="1"/>
      <protection/>
    </xf>
    <xf numFmtId="168" fontId="53" fillId="4" borderId="21" xfId="99" applyNumberFormat="1" applyFont="1" applyFill="1" applyBorder="1" applyAlignment="1" applyProtection="1">
      <alignment vertical="center" shrinkToFit="1"/>
      <protection/>
    </xf>
    <xf numFmtId="164" fontId="42" fillId="0" borderId="23" xfId="0" applyFont="1" applyBorder="1" applyAlignment="1">
      <alignment horizontal="left" vertical="center"/>
    </xf>
    <xf numFmtId="164" fontId="42" fillId="0" borderId="24" xfId="0" applyFont="1" applyBorder="1" applyAlignment="1" applyProtection="1">
      <alignment horizontal="left" vertical="center"/>
      <protection locked="0"/>
    </xf>
    <xf numFmtId="164" fontId="42" fillId="0" borderId="24" xfId="0" applyFont="1" applyBorder="1" applyAlignment="1">
      <alignment horizontal="left" vertical="center" wrapText="1" indent="1"/>
    </xf>
    <xf numFmtId="168" fontId="42" fillId="20" borderId="23" xfId="99" applyNumberFormat="1" applyFont="1" applyFill="1" applyBorder="1" applyAlignment="1" applyProtection="1">
      <alignment vertical="center" shrinkToFit="1"/>
      <protection/>
    </xf>
    <xf numFmtId="168" fontId="42" fillId="20" borderId="25" xfId="99" applyNumberFormat="1" applyFont="1" applyFill="1" applyBorder="1" applyAlignment="1" applyProtection="1">
      <alignment vertical="center" shrinkToFit="1"/>
      <protection/>
    </xf>
    <xf numFmtId="168" fontId="42" fillId="20" borderId="26" xfId="99" applyNumberFormat="1" applyFont="1" applyFill="1" applyBorder="1" applyAlignment="1" applyProtection="1">
      <alignment vertical="center" shrinkToFit="1"/>
      <protection/>
    </xf>
    <xf numFmtId="168" fontId="42" fillId="2" borderId="27" xfId="99" applyNumberFormat="1" applyFont="1" applyFill="1" applyBorder="1" applyAlignment="1" applyProtection="1">
      <alignment vertical="center" shrinkToFit="1"/>
      <protection/>
    </xf>
    <xf numFmtId="168" fontId="42" fillId="2" borderId="25" xfId="99" applyNumberFormat="1" applyFont="1" applyFill="1" applyBorder="1" applyAlignment="1" applyProtection="1">
      <alignment vertical="center" shrinkToFit="1"/>
      <protection/>
    </xf>
    <xf numFmtId="168" fontId="42" fillId="2" borderId="26" xfId="99" applyNumberFormat="1" applyFont="1" applyFill="1" applyBorder="1" applyAlignment="1" applyProtection="1">
      <alignment vertical="center" shrinkToFit="1"/>
      <protection/>
    </xf>
    <xf numFmtId="164" fontId="56" fillId="0" borderId="11" xfId="0" applyFont="1" applyBorder="1" applyAlignment="1">
      <alignment horizontal="left" vertical="center"/>
    </xf>
    <xf numFmtId="164" fontId="56" fillId="0" borderId="12" xfId="0" applyFont="1" applyBorder="1" applyAlignment="1" applyProtection="1">
      <alignment horizontal="left" vertical="center"/>
      <protection locked="0"/>
    </xf>
    <xf numFmtId="164" fontId="56" fillId="0" borderId="13" xfId="0" applyFont="1" applyBorder="1" applyAlignment="1">
      <alignment vertical="center" wrapText="1"/>
    </xf>
    <xf numFmtId="168" fontId="56" fillId="20" borderId="11" xfId="99" applyNumberFormat="1" applyFont="1" applyFill="1" applyBorder="1" applyAlignment="1" applyProtection="1">
      <alignment horizontal="center" vertical="center" shrinkToFit="1"/>
      <protection/>
    </xf>
    <xf numFmtId="168" fontId="56" fillId="20" borderId="14" xfId="99" applyNumberFormat="1" applyFont="1" applyFill="1" applyBorder="1" applyAlignment="1" applyProtection="1">
      <alignment horizontal="center" vertical="center" shrinkToFit="1"/>
      <protection/>
    </xf>
    <xf numFmtId="168" fontId="56" fillId="20" borderId="15" xfId="99" applyNumberFormat="1" applyFont="1" applyFill="1" applyBorder="1" applyAlignment="1" applyProtection="1">
      <alignment horizontal="center" vertical="center" shrinkToFit="1"/>
      <protection/>
    </xf>
    <xf numFmtId="168" fontId="56" fillId="0" borderId="16" xfId="99" applyNumberFormat="1" applyFont="1" applyFill="1" applyBorder="1" applyAlignment="1" applyProtection="1">
      <alignment horizontal="center" vertical="center" shrinkToFit="1"/>
      <protection/>
    </xf>
    <xf numFmtId="168" fontId="56" fillId="0" borderId="14" xfId="99" applyNumberFormat="1" applyFont="1" applyFill="1" applyBorder="1" applyAlignment="1" applyProtection="1">
      <alignment horizontal="center" vertical="center" shrinkToFit="1"/>
      <protection/>
    </xf>
    <xf numFmtId="168" fontId="56" fillId="0" borderId="15" xfId="99" applyNumberFormat="1" applyFont="1" applyFill="1" applyBorder="1" applyAlignment="1" applyProtection="1">
      <alignment horizontal="center" vertical="center" shrinkToFit="1"/>
      <protection/>
    </xf>
    <xf numFmtId="164" fontId="42" fillId="0" borderId="40" xfId="0" applyFont="1" applyBorder="1" applyAlignment="1">
      <alignment horizontal="left" vertical="center"/>
    </xf>
    <xf numFmtId="164" fontId="42" fillId="0" borderId="41" xfId="0" applyFont="1" applyBorder="1" applyAlignment="1" applyProtection="1">
      <alignment horizontal="left" vertical="center"/>
      <protection locked="0"/>
    </xf>
    <xf numFmtId="164" fontId="42" fillId="0" borderId="41" xfId="0" applyFont="1" applyBorder="1" applyAlignment="1">
      <alignment horizontal="left" vertical="center" wrapText="1" indent="1"/>
    </xf>
    <xf numFmtId="168" fontId="42" fillId="20" borderId="40" xfId="99" applyNumberFormat="1" applyFont="1" applyFill="1" applyBorder="1" applyAlignment="1" applyProtection="1">
      <alignment vertical="center" shrinkToFit="1"/>
      <protection/>
    </xf>
    <xf numFmtId="168" fontId="42" fillId="20" borderId="42" xfId="99" applyNumberFormat="1" applyFont="1" applyFill="1" applyBorder="1" applyAlignment="1" applyProtection="1">
      <alignment vertical="center" shrinkToFit="1"/>
      <protection/>
    </xf>
    <xf numFmtId="168" fontId="42" fillId="20" borderId="43" xfId="99" applyNumberFormat="1" applyFont="1" applyFill="1" applyBorder="1" applyAlignment="1" applyProtection="1">
      <alignment vertical="center" shrinkToFit="1"/>
      <protection/>
    </xf>
    <xf numFmtId="168" fontId="42" fillId="2" borderId="44" xfId="99" applyNumberFormat="1" applyFont="1" applyFill="1" applyBorder="1" applyAlignment="1" applyProtection="1">
      <alignment vertical="center" shrinkToFit="1"/>
      <protection/>
    </xf>
    <xf numFmtId="168" fontId="42" fillId="2" borderId="42" xfId="99" applyNumberFormat="1" applyFont="1" applyFill="1" applyBorder="1" applyAlignment="1" applyProtection="1">
      <alignment vertical="center" shrinkToFit="1"/>
      <protection/>
    </xf>
    <xf numFmtId="168" fontId="42" fillId="2" borderId="43" xfId="99" applyNumberFormat="1" applyFont="1" applyFill="1" applyBorder="1" applyAlignment="1" applyProtection="1">
      <alignment vertical="center" shrinkToFit="1"/>
      <protection/>
    </xf>
    <xf numFmtId="164" fontId="56" fillId="0" borderId="11" xfId="103" applyFont="1" applyBorder="1" applyAlignment="1">
      <alignment horizontal="left" vertical="center"/>
      <protection/>
    </xf>
    <xf numFmtId="164" fontId="42" fillId="0" borderId="45" xfId="0" applyFont="1" applyBorder="1" applyAlignment="1" applyProtection="1">
      <alignment horizontal="left" vertical="center"/>
      <protection locked="0"/>
    </xf>
    <xf numFmtId="164" fontId="56" fillId="0" borderId="13" xfId="103" applyFont="1" applyBorder="1" applyAlignment="1">
      <alignment vertical="center" wrapText="1"/>
      <protection/>
    </xf>
    <xf numFmtId="168" fontId="56" fillId="20" borderId="11" xfId="99" applyNumberFormat="1" applyFont="1" applyFill="1" applyBorder="1" applyAlignment="1">
      <alignment horizontal="center" vertical="center" shrinkToFit="1"/>
      <protection/>
    </xf>
    <xf numFmtId="168" fontId="56" fillId="20" borderId="14" xfId="99" applyNumberFormat="1" applyFont="1" applyFill="1" applyBorder="1" applyAlignment="1">
      <alignment horizontal="center" vertical="center" shrinkToFit="1"/>
      <protection/>
    </xf>
    <xf numFmtId="168" fontId="56" fillId="20" borderId="15" xfId="99" applyNumberFormat="1" applyFont="1" applyFill="1" applyBorder="1" applyAlignment="1">
      <alignment horizontal="center" vertical="center" shrinkToFit="1"/>
      <protection/>
    </xf>
    <xf numFmtId="168" fontId="56" fillId="0" borderId="16" xfId="99" applyNumberFormat="1" applyFont="1" applyFill="1" applyBorder="1" applyAlignment="1">
      <alignment horizontal="center" vertical="center" shrinkToFit="1"/>
      <protection/>
    </xf>
    <xf numFmtId="168" fontId="56" fillId="0" borderId="53" xfId="99" applyNumberFormat="1" applyFont="1" applyFill="1" applyBorder="1" applyAlignment="1">
      <alignment horizontal="center" vertical="center" shrinkToFit="1"/>
      <protection/>
    </xf>
    <xf numFmtId="168" fontId="42" fillId="0" borderId="22" xfId="99" applyNumberFormat="1" applyFont="1" applyFill="1" applyBorder="1" applyAlignment="1">
      <alignment vertical="center" shrinkToFit="1"/>
      <protection/>
    </xf>
    <xf numFmtId="168" fontId="42" fillId="0" borderId="54" xfId="99" applyNumberFormat="1" applyFont="1" applyFill="1" applyBorder="1" applyAlignment="1">
      <alignment vertical="center" shrinkToFit="1"/>
      <protection/>
    </xf>
    <xf numFmtId="170" fontId="42" fillId="0" borderId="54" xfId="107" applyNumberFormat="1" applyFont="1" applyFill="1" applyBorder="1" applyAlignment="1" applyProtection="1">
      <alignment vertical="center" shrinkToFit="1"/>
      <protection/>
    </xf>
    <xf numFmtId="170" fontId="42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4" fillId="0" borderId="0" xfId="0" applyFont="1" applyBorder="1" applyAlignment="1" applyProtection="1">
      <alignment vertical="center" wrapText="1"/>
      <protection/>
    </xf>
    <xf numFmtId="164" fontId="49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2" fillId="0" borderId="15" xfId="0" applyNumberFormat="1" applyFont="1" applyBorder="1" applyAlignment="1">
      <alignment vertical="center"/>
    </xf>
    <xf numFmtId="171" fontId="42" fillId="0" borderId="21" xfId="0" applyNumberFormat="1" applyFont="1" applyBorder="1" applyAlignment="1">
      <alignment vertical="center"/>
    </xf>
    <xf numFmtId="171" fontId="42" fillId="0" borderId="43" xfId="0" applyNumberFormat="1" applyFont="1" applyBorder="1" applyAlignment="1">
      <alignment vertical="center"/>
    </xf>
    <xf numFmtId="170" fontId="42" fillId="0" borderId="15" xfId="0" applyNumberFormat="1" applyFont="1" applyFill="1" applyBorder="1" applyAlignment="1">
      <alignment vertical="center"/>
    </xf>
    <xf numFmtId="170" fontId="42" fillId="0" borderId="43" xfId="0" applyNumberFormat="1" applyFont="1" applyFill="1" applyBorder="1" applyAlignment="1">
      <alignment vertical="center"/>
    </xf>
    <xf numFmtId="164" fontId="65" fillId="0" borderId="0" xfId="0" applyFont="1" applyAlignment="1">
      <alignment horizontal="center" vertical="center"/>
    </xf>
    <xf numFmtId="164" fontId="65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5" fillId="0" borderId="0" xfId="0" applyNumberFormat="1" applyFont="1" applyAlignment="1">
      <alignment vertical="center"/>
    </xf>
    <xf numFmtId="166" fontId="65" fillId="0" borderId="0" xfId="0" applyNumberFormat="1" applyFont="1" applyAlignment="1">
      <alignment vertical="center"/>
    </xf>
    <xf numFmtId="164" fontId="65" fillId="0" borderId="0" xfId="0" applyFont="1" applyAlignment="1">
      <alignment vertical="center"/>
    </xf>
    <xf numFmtId="164" fontId="65" fillId="0" borderId="0" xfId="0" applyNumberFormat="1" applyFont="1" applyAlignment="1">
      <alignment vertical="center"/>
    </xf>
    <xf numFmtId="167" fontId="65" fillId="0" borderId="0" xfId="0" applyNumberFormat="1" applyFont="1" applyAlignment="1">
      <alignment horizontal="center" vertical="center"/>
    </xf>
    <xf numFmtId="168" fontId="65" fillId="0" borderId="0" xfId="0" applyNumberFormat="1" applyFont="1" applyAlignment="1">
      <alignment vertical="center"/>
    </xf>
    <xf numFmtId="174" fontId="65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59244776"/>
        <c:axId val="63440937"/>
      </c:lineChart>
      <c:dateAx>
        <c:axId val="5924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40937"/>
        <c:crossesAt val="0"/>
        <c:auto val="0"/>
        <c:noMultiLvlLbl val="0"/>
      </c:dateAx>
      <c:valAx>
        <c:axId val="63440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447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60188226"/>
        <c:axId val="4823123"/>
      </c:lineChart>
      <c:dateAx>
        <c:axId val="6018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3123"/>
        <c:crossesAt val="0"/>
        <c:auto val="0"/>
        <c:noMultiLvlLbl val="0"/>
      </c:dateAx>
      <c:valAx>
        <c:axId val="4823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8822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43408108"/>
        <c:axId val="55128653"/>
      </c:lineChart>
      <c:dateAx>
        <c:axId val="43408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28653"/>
        <c:crossesAt val="0"/>
        <c:auto val="0"/>
        <c:noMultiLvlLbl val="0"/>
      </c:dateAx>
      <c:valAx>
        <c:axId val="55128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0810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26395830"/>
        <c:axId val="36235879"/>
      </c:lineChart>
      <c:dateAx>
        <c:axId val="2639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35879"/>
        <c:crossesAt val="0"/>
        <c:auto val="0"/>
        <c:noMultiLvlLbl val="0"/>
      </c:dateAx>
      <c:valAx>
        <c:axId val="36235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9583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34097522"/>
        <c:axId val="38442243"/>
      </c:barChart>
      <c:dateAx>
        <c:axId val="3409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42243"/>
        <c:crossesAt val="0"/>
        <c:auto val="0"/>
        <c:noMultiLvlLbl val="0"/>
      </c:dateAx>
      <c:valAx>
        <c:axId val="38442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9752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10435868"/>
        <c:axId val="26813949"/>
      </c:barChart>
      <c:dateAx>
        <c:axId val="1043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13949"/>
        <c:crossesAt val="0"/>
        <c:auto val="0"/>
        <c:noMultiLvlLbl val="0"/>
      </c:dateAx>
      <c:valAx>
        <c:axId val="26813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3586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39998950"/>
        <c:axId val="24446231"/>
      </c:lineChart>
      <c:dateAx>
        <c:axId val="3999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46231"/>
        <c:crossesAt val="0"/>
        <c:auto val="0"/>
        <c:noMultiLvlLbl val="0"/>
      </c:dateAx>
      <c:valAx>
        <c:axId val="24446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9895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18689488"/>
        <c:axId val="33987665"/>
      </c:lineChart>
      <c:dateAx>
        <c:axId val="1868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87665"/>
        <c:crossesAt val="0"/>
        <c:auto val="0"/>
        <c:noMultiLvlLbl val="0"/>
      </c:dateAx>
      <c:valAx>
        <c:axId val="33987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8948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49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7453530"/>
        <c:axId val="1537451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7453530"/>
        <c:axId val="1537451"/>
      </c:lineChart>
      <c:dateAx>
        <c:axId val="3745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7451"/>
        <c:crossesAt val="0"/>
        <c:auto val="0"/>
        <c:noMultiLvlLbl val="0"/>
      </c:dateAx>
      <c:valAx>
        <c:axId val="1537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5353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13837060"/>
        <c:axId val="57424677"/>
      </c:lineChart>
      <c:dateAx>
        <c:axId val="1383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24677"/>
        <c:crossesAt val="0"/>
        <c:auto val="0"/>
        <c:noMultiLvlLbl val="0"/>
      </c:dateAx>
      <c:valAx>
        <c:axId val="5742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3706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47060046"/>
        <c:axId val="20887231"/>
      </c:lineChart>
      <c:dateAx>
        <c:axId val="4706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87231"/>
        <c:crossesAt val="0"/>
        <c:auto val="0"/>
        <c:noMultiLvlLbl val="0"/>
      </c:dateAx>
      <c:valAx>
        <c:axId val="20887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6004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53767352"/>
        <c:axId val="14144121"/>
      </c:lineChart>
      <c:dateAx>
        <c:axId val="5376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44121"/>
        <c:crossesAt val="0"/>
        <c:auto val="0"/>
        <c:noMultiLvlLbl val="0"/>
      </c:dateAx>
      <c:valAx>
        <c:axId val="14144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6735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7" activePane="bottomRight" state="frozen"/>
      <selection pane="topLeft" activeCell="A1" sqref="A1"/>
      <selection pane="topRight" activeCell="E1" sqref="E1"/>
      <selection pane="bottomLeft" activeCell="A87" sqref="A87"/>
      <selection pane="bottomRight" activeCell="B1" sqref="B1:Q115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83.296875" style="2" customWidth="1"/>
    <col min="5" max="8" width="14" style="2" customWidth="1" outlineLevel="1"/>
    <col min="9" max="17" width="14" style="2" customWidth="1"/>
  </cols>
  <sheetData>
    <row r="1" spans="2:18" ht="30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2013</v>
      </c>
      <c r="F2" s="15">
        <f>+G2-1</f>
        <v>2014</v>
      </c>
      <c r="G2" s="15">
        <f>+H2</f>
        <v>2015</v>
      </c>
      <c r="H2" s="16">
        <f>+I2-1</f>
        <v>2015</v>
      </c>
      <c r="I2" s="17">
        <f>+DaneZrodlowe!$N$1</f>
        <v>2016</v>
      </c>
      <c r="J2" s="18">
        <f>+I2+1</f>
        <v>2017</v>
      </c>
      <c r="K2" s="18">
        <f>+J2+1</f>
        <v>2018</v>
      </c>
      <c r="L2" s="18">
        <f>+K2+1</f>
        <v>2019</v>
      </c>
      <c r="M2" s="18">
        <f>+L2+1</f>
        <v>2020</v>
      </c>
      <c r="N2" s="18">
        <f>+M2+1</f>
        <v>2021</v>
      </c>
      <c r="O2" s="18">
        <f>+N2+1</f>
        <v>2022</v>
      </c>
      <c r="P2" s="18">
        <f>+O2+1</f>
        <v>2023</v>
      </c>
      <c r="Q2" s="18">
        <f>+P2+1</f>
        <v>2024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36897999.47</f>
        <v>36897999.47</v>
      </c>
      <c r="F3" s="24">
        <f>38775186.08</f>
        <v>38775186.08</v>
      </c>
      <c r="G3" s="24">
        <f>36552514.89</f>
        <v>36552514.89</v>
      </c>
      <c r="H3" s="25">
        <f>37229518.09</f>
        <v>37229518.09</v>
      </c>
      <c r="I3" s="26">
        <f>40703030.39</f>
        <v>40703030.39</v>
      </c>
      <c r="J3" s="27">
        <f>39352887.87</f>
        <v>39352887.87</v>
      </c>
      <c r="K3" s="27">
        <f aca="true" t="shared" si="0" ref="K3:K4">39000000</f>
        <v>39000000</v>
      </c>
      <c r="L3" s="27">
        <f aca="true" t="shared" si="1" ref="L3:L4">40000000</f>
        <v>40000000</v>
      </c>
      <c r="M3" s="27">
        <f aca="true" t="shared" si="2" ref="M3:M4">41000000</f>
        <v>41000000</v>
      </c>
      <c r="N3" s="27">
        <f aca="true" t="shared" si="3" ref="N3:N4">42000000</f>
        <v>42000000</v>
      </c>
      <c r="O3" s="27">
        <f aca="true" t="shared" si="4" ref="O3:O4">43000000</f>
        <v>43000000</v>
      </c>
      <c r="P3" s="27">
        <f aca="true" t="shared" si="5" ref="P3:P4">44000000</f>
        <v>44000000</v>
      </c>
      <c r="Q3" s="27">
        <f aca="true" t="shared" si="6" ref="Q3:Q4">45000000</f>
        <v>45000000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32301173.26</f>
        <v>32301173.26</v>
      </c>
      <c r="F4" s="33">
        <f>34105017.52</f>
        <v>34105017.52</v>
      </c>
      <c r="G4" s="33">
        <f>33742971.45</f>
        <v>33742971.45</v>
      </c>
      <c r="H4" s="34">
        <f>34353903.41</f>
        <v>34353903.41</v>
      </c>
      <c r="I4" s="35">
        <f>39633965.86</f>
        <v>39633965.86</v>
      </c>
      <c r="J4" s="36">
        <f>38100000</f>
        <v>38100000</v>
      </c>
      <c r="K4" s="36">
        <f t="shared" si="0"/>
        <v>39000000</v>
      </c>
      <c r="L4" s="36">
        <f t="shared" si="1"/>
        <v>40000000</v>
      </c>
      <c r="M4" s="36">
        <f t="shared" si="2"/>
        <v>41000000</v>
      </c>
      <c r="N4" s="36">
        <f t="shared" si="3"/>
        <v>42000000</v>
      </c>
      <c r="O4" s="36">
        <f t="shared" si="4"/>
        <v>43000000</v>
      </c>
      <c r="P4" s="36">
        <f t="shared" si="5"/>
        <v>44000000</v>
      </c>
      <c r="Q4" s="36">
        <f t="shared" si="6"/>
        <v>45000000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6476099</f>
        <v>6476099</v>
      </c>
      <c r="F5" s="33">
        <f>7136023</f>
        <v>7136023</v>
      </c>
      <c r="G5" s="33">
        <f>7700000</f>
        <v>7700000</v>
      </c>
      <c r="H5" s="34">
        <f>7843520</f>
        <v>7843520</v>
      </c>
      <c r="I5" s="35">
        <f>8464000</f>
        <v>8464000</v>
      </c>
      <c r="J5" s="36">
        <f>9000000</f>
        <v>9000000</v>
      </c>
      <c r="K5" s="36">
        <f>9500000</f>
        <v>9500000</v>
      </c>
      <c r="L5" s="36">
        <f>10000000</f>
        <v>10000000</v>
      </c>
      <c r="M5" s="36">
        <f aca="true" t="shared" si="7" ref="M5:M13">0</f>
        <v>0</v>
      </c>
      <c r="N5" s="36">
        <f aca="true" t="shared" si="8" ref="N5:N13">0</f>
        <v>0</v>
      </c>
      <c r="O5" s="36">
        <f aca="true" t="shared" si="9" ref="O5:O13">0</f>
        <v>0</v>
      </c>
      <c r="P5" s="36">
        <f aca="true" t="shared" si="10" ref="P5:P13">0</f>
        <v>0</v>
      </c>
      <c r="Q5" s="36">
        <f aca="true" t="shared" si="11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175600.93</f>
        <v>175600.93</v>
      </c>
      <c r="F6" s="33">
        <f>175787.56</f>
        <v>175787.56</v>
      </c>
      <c r="G6" s="33">
        <f>140000</f>
        <v>140000</v>
      </c>
      <c r="H6" s="34">
        <f>103587.11</f>
        <v>103587.11</v>
      </c>
      <c r="I6" s="35">
        <f>140000</f>
        <v>140000</v>
      </c>
      <c r="J6" s="36">
        <f>140000</f>
        <v>140000</v>
      </c>
      <c r="K6" s="36">
        <f>140000</f>
        <v>140000</v>
      </c>
      <c r="L6" s="36">
        <f>140000</f>
        <v>140000</v>
      </c>
      <c r="M6" s="36">
        <f t="shared" si="7"/>
        <v>0</v>
      </c>
      <c r="N6" s="36">
        <f t="shared" si="8"/>
        <v>0</v>
      </c>
      <c r="O6" s="36">
        <f t="shared" si="9"/>
        <v>0</v>
      </c>
      <c r="P6" s="36">
        <f t="shared" si="10"/>
        <v>0</v>
      </c>
      <c r="Q6" s="36">
        <f t="shared" si="11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5289523.02</f>
        <v>5289523.02</v>
      </c>
      <c r="F7" s="33">
        <f>7010289.27</f>
        <v>7010289.27</v>
      </c>
      <c r="G7" s="33">
        <f>7628751</f>
        <v>7628751</v>
      </c>
      <c r="H7" s="34">
        <f>7671198.75</f>
        <v>7671198.75</v>
      </c>
      <c r="I7" s="35">
        <f>7404441.02</f>
        <v>7404441.02</v>
      </c>
      <c r="J7" s="36">
        <f>7400000</f>
        <v>7400000</v>
      </c>
      <c r="K7" s="36">
        <f>7400000</f>
        <v>7400000</v>
      </c>
      <c r="L7" s="36">
        <f>7500000</f>
        <v>7500000</v>
      </c>
      <c r="M7" s="36">
        <f t="shared" si="7"/>
        <v>0</v>
      </c>
      <c r="N7" s="36">
        <f t="shared" si="8"/>
        <v>0</v>
      </c>
      <c r="O7" s="36">
        <f t="shared" si="9"/>
        <v>0</v>
      </c>
      <c r="P7" s="36">
        <f t="shared" si="10"/>
        <v>0</v>
      </c>
      <c r="Q7" s="36">
        <f t="shared" si="11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3824840.21</f>
        <v>3824840.21</v>
      </c>
      <c r="F8" s="33">
        <f>4237030.5</f>
        <v>4237030.5</v>
      </c>
      <c r="G8" s="33">
        <f>4756505</f>
        <v>4756505</v>
      </c>
      <c r="H8" s="34">
        <f>4945027.31</f>
        <v>4945027.31</v>
      </c>
      <c r="I8" s="35">
        <f>4468220</f>
        <v>4468220</v>
      </c>
      <c r="J8" s="36">
        <f>4500000</f>
        <v>4500000</v>
      </c>
      <c r="K8" s="36">
        <f>4600000</f>
        <v>4600000</v>
      </c>
      <c r="L8" s="36">
        <f>4700000</f>
        <v>4700000</v>
      </c>
      <c r="M8" s="36">
        <f t="shared" si="7"/>
        <v>0</v>
      </c>
      <c r="N8" s="36">
        <f t="shared" si="8"/>
        <v>0</v>
      </c>
      <c r="O8" s="36">
        <f t="shared" si="9"/>
        <v>0</v>
      </c>
      <c r="P8" s="36">
        <f t="shared" si="10"/>
        <v>0</v>
      </c>
      <c r="Q8" s="36">
        <f t="shared" si="11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7466452</f>
        <v>7466452</v>
      </c>
      <c r="F9" s="33">
        <f>8308307</f>
        <v>8308307</v>
      </c>
      <c r="G9" s="33">
        <f>9112541</f>
        <v>9112541</v>
      </c>
      <c r="H9" s="34">
        <f>9112541</f>
        <v>9112541</v>
      </c>
      <c r="I9" s="35">
        <f>9129602</f>
        <v>9129602</v>
      </c>
      <c r="J9" s="36">
        <f>9300000</f>
        <v>9300000</v>
      </c>
      <c r="K9" s="36">
        <f>9400000</f>
        <v>9400000</v>
      </c>
      <c r="L9" s="36">
        <f>9500000</f>
        <v>9500000</v>
      </c>
      <c r="M9" s="36">
        <f t="shared" si="7"/>
        <v>0</v>
      </c>
      <c r="N9" s="36">
        <f t="shared" si="8"/>
        <v>0</v>
      </c>
      <c r="O9" s="36">
        <f t="shared" si="9"/>
        <v>0</v>
      </c>
      <c r="P9" s="36">
        <f t="shared" si="10"/>
        <v>0</v>
      </c>
      <c r="Q9" s="36">
        <f t="shared" si="11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8685748.05</f>
        <v>8685748.05</v>
      </c>
      <c r="F10" s="33">
        <f>8330252.43</f>
        <v>8330252.43</v>
      </c>
      <c r="G10" s="33">
        <f>6570203.45</f>
        <v>6570203.45</v>
      </c>
      <c r="H10" s="34">
        <f>6575959.99</f>
        <v>6575959.99</v>
      </c>
      <c r="I10" s="35">
        <f>12188353.84</f>
        <v>12188353.84</v>
      </c>
      <c r="J10" s="36">
        <f>10211792</f>
        <v>10211792</v>
      </c>
      <c r="K10" s="36">
        <f>10300000</f>
        <v>10300000</v>
      </c>
      <c r="L10" s="36">
        <f>10400000</f>
        <v>10400000</v>
      </c>
      <c r="M10" s="36">
        <f t="shared" si="7"/>
        <v>0</v>
      </c>
      <c r="N10" s="36">
        <f t="shared" si="8"/>
        <v>0</v>
      </c>
      <c r="O10" s="36">
        <f t="shared" si="9"/>
        <v>0</v>
      </c>
      <c r="P10" s="36">
        <f t="shared" si="10"/>
        <v>0</v>
      </c>
      <c r="Q10" s="36">
        <f t="shared" si="11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4596826.21</f>
        <v>4596826.21</v>
      </c>
      <c r="F11" s="33">
        <f>4670168.56</f>
        <v>4670168.56</v>
      </c>
      <c r="G11" s="33">
        <f>2809543.44</f>
        <v>2809543.44</v>
      </c>
      <c r="H11" s="34">
        <f>2875614.68</f>
        <v>2875614.68</v>
      </c>
      <c r="I11" s="35">
        <f>1069064.53</f>
        <v>1069064.53</v>
      </c>
      <c r="J11" s="36">
        <f>1252887.87</f>
        <v>1252887.87</v>
      </c>
      <c r="K11" s="36">
        <f aca="true" t="shared" si="12" ref="K11:K13">0</f>
        <v>0</v>
      </c>
      <c r="L11" s="36">
        <f aca="true" t="shared" si="13" ref="L11:L13">0</f>
        <v>0</v>
      </c>
      <c r="M11" s="36">
        <f t="shared" si="7"/>
        <v>0</v>
      </c>
      <c r="N11" s="36">
        <f t="shared" si="8"/>
        <v>0</v>
      </c>
      <c r="O11" s="36">
        <f t="shared" si="9"/>
        <v>0</v>
      </c>
      <c r="P11" s="36">
        <f t="shared" si="10"/>
        <v>0</v>
      </c>
      <c r="Q11" s="36">
        <f t="shared" si="11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198768.84</f>
        <v>198768.84</v>
      </c>
      <c r="F12" s="33">
        <f>243965.6</f>
        <v>243965.6</v>
      </c>
      <c r="G12" s="33">
        <f>21000</f>
        <v>21000</v>
      </c>
      <c r="H12" s="34">
        <f>32599.6</f>
        <v>32599.6</v>
      </c>
      <c r="I12" s="35">
        <f>120000</f>
        <v>120000</v>
      </c>
      <c r="J12" s="36">
        <f>0</f>
        <v>0</v>
      </c>
      <c r="K12" s="36">
        <f t="shared" si="12"/>
        <v>0</v>
      </c>
      <c r="L12" s="36">
        <f t="shared" si="13"/>
        <v>0</v>
      </c>
      <c r="M12" s="36">
        <f t="shared" si="7"/>
        <v>0</v>
      </c>
      <c r="N12" s="36">
        <f t="shared" si="8"/>
        <v>0</v>
      </c>
      <c r="O12" s="36">
        <f t="shared" si="9"/>
        <v>0</v>
      </c>
      <c r="P12" s="36">
        <f t="shared" si="10"/>
        <v>0</v>
      </c>
      <c r="Q12" s="36">
        <f t="shared" si="11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4223796.09</f>
        <v>4223796.09</v>
      </c>
      <c r="F13" s="33">
        <f>4326916.96</f>
        <v>4326916.96</v>
      </c>
      <c r="G13" s="33">
        <f>2773543.44</f>
        <v>2773543.44</v>
      </c>
      <c r="H13" s="34">
        <f>2838905.27</f>
        <v>2838905.27</v>
      </c>
      <c r="I13" s="35">
        <f>939064.53</f>
        <v>939064.53</v>
      </c>
      <c r="J13" s="36">
        <f>1252887.87</f>
        <v>1252887.87</v>
      </c>
      <c r="K13" s="36">
        <f t="shared" si="12"/>
        <v>0</v>
      </c>
      <c r="L13" s="36">
        <f t="shared" si="13"/>
        <v>0</v>
      </c>
      <c r="M13" s="36">
        <f t="shared" si="7"/>
        <v>0</v>
      </c>
      <c r="N13" s="36">
        <f t="shared" si="8"/>
        <v>0</v>
      </c>
      <c r="O13" s="36">
        <f t="shared" si="9"/>
        <v>0</v>
      </c>
      <c r="P13" s="36">
        <f t="shared" si="10"/>
        <v>0</v>
      </c>
      <c r="Q13" s="36">
        <f t="shared" si="11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37003938.3</f>
        <v>37003938.3</v>
      </c>
      <c r="F14" s="24">
        <f>37365699.93</f>
        <v>37365699.93</v>
      </c>
      <c r="G14" s="24">
        <f>42482913.27</f>
        <v>42482913.27</v>
      </c>
      <c r="H14" s="25">
        <f>39803316.09</f>
        <v>39803316.09</v>
      </c>
      <c r="I14" s="26">
        <f>42706938.77</f>
        <v>42706938.77</v>
      </c>
      <c r="J14" s="27">
        <f>37874683.87</f>
        <v>37874683.87</v>
      </c>
      <c r="K14" s="27">
        <f>37321796</f>
        <v>37321796</v>
      </c>
      <c r="L14" s="27">
        <f>38139996</f>
        <v>38139996</v>
      </c>
      <c r="M14" s="27">
        <f>38789996</f>
        <v>38789996</v>
      </c>
      <c r="N14" s="27">
        <f>39789996</f>
        <v>39789996</v>
      </c>
      <c r="O14" s="27">
        <f>40749996</f>
        <v>40749996</v>
      </c>
      <c r="P14" s="27">
        <f>41582000</f>
        <v>41582000</v>
      </c>
      <c r="Q14" s="27">
        <f>42934308</f>
        <v>42934308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30174248.7</f>
        <v>30174248.7</v>
      </c>
      <c r="F15" s="33">
        <f>31284204.73</f>
        <v>31284204.73</v>
      </c>
      <c r="G15" s="33">
        <f>31963540.27</f>
        <v>31963540.27</v>
      </c>
      <c r="H15" s="34">
        <f>31703820.82</f>
        <v>31703820.82</v>
      </c>
      <c r="I15" s="35">
        <f>38501519.04</f>
        <v>38501519.04</v>
      </c>
      <c r="J15" s="36">
        <f>35100000</f>
        <v>35100000</v>
      </c>
      <c r="K15" s="36">
        <f>35600000</f>
        <v>35600000</v>
      </c>
      <c r="L15" s="36">
        <f>36100000</f>
        <v>36100000</v>
      </c>
      <c r="M15" s="36">
        <f>36600000</f>
        <v>36600000</v>
      </c>
      <c r="N15" s="36">
        <f>37100000</f>
        <v>37100000</v>
      </c>
      <c r="O15" s="36">
        <f>37600000</f>
        <v>37600000</v>
      </c>
      <c r="P15" s="36">
        <f>38100000</f>
        <v>38100000</v>
      </c>
      <c r="Q15" s="36">
        <f>38600000</f>
        <v>38600000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4" ref="E16:E18">0</f>
        <v>0</v>
      </c>
      <c r="F16" s="33">
        <f aca="true" t="shared" si="15" ref="F16:F18">0</f>
        <v>0</v>
      </c>
      <c r="G16" s="33">
        <f>28000</f>
        <v>28000</v>
      </c>
      <c r="H16" s="34">
        <f aca="true" t="shared" si="16" ref="H16:H18">0</f>
        <v>0</v>
      </c>
      <c r="I16" s="35">
        <f>38500</f>
        <v>38500</v>
      </c>
      <c r="J16" s="36">
        <f>114000</f>
        <v>114000</v>
      </c>
      <c r="K16" s="36">
        <f>116000</f>
        <v>116000</v>
      </c>
      <c r="L16" s="36">
        <f>117000</f>
        <v>117000</v>
      </c>
      <c r="M16" s="36">
        <f>119000</f>
        <v>119000</v>
      </c>
      <c r="N16" s="36">
        <f>121000</f>
        <v>121000</v>
      </c>
      <c r="O16" s="36">
        <f>123000</f>
        <v>123000</v>
      </c>
      <c r="P16" s="36">
        <f>126000</f>
        <v>126000</v>
      </c>
      <c r="Q16" s="36">
        <f>128000</f>
        <v>128000</v>
      </c>
    </row>
    <row r="17" spans="1:17" ht="18" customHeight="1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4"/>
        <v>0</v>
      </c>
      <c r="F17" s="33">
        <f t="shared" si="15"/>
        <v>0</v>
      </c>
      <c r="G17" s="33">
        <f aca="true" t="shared" si="17" ref="G17:G18">0</f>
        <v>0</v>
      </c>
      <c r="H17" s="34">
        <f t="shared" si="16"/>
        <v>0</v>
      </c>
      <c r="I17" s="35">
        <f aca="true" t="shared" si="18" ref="I17:I18">0</f>
        <v>0</v>
      </c>
      <c r="J17" s="36">
        <f aca="true" t="shared" si="19" ref="J17:J18">0</f>
        <v>0</v>
      </c>
      <c r="K17" s="36">
        <f aca="true" t="shared" si="20" ref="K17:K18">0</f>
        <v>0</v>
      </c>
      <c r="L17" s="36">
        <f aca="true" t="shared" si="21" ref="L17:L18">0</f>
        <v>0</v>
      </c>
      <c r="M17" s="36">
        <f aca="true" t="shared" si="22" ref="M17:M18">0</f>
        <v>0</v>
      </c>
      <c r="N17" s="36">
        <f aca="true" t="shared" si="23" ref="N17:N18">0</f>
        <v>0</v>
      </c>
      <c r="O17" s="36">
        <f aca="true" t="shared" si="24" ref="O17:O18">0</f>
        <v>0</v>
      </c>
      <c r="P17" s="36">
        <f aca="true" t="shared" si="25" ref="P17:P18">0</f>
        <v>0</v>
      </c>
      <c r="Q17" s="36">
        <f aca="true" t="shared" si="26" ref="Q17:Q18">0</f>
        <v>0</v>
      </c>
    </row>
    <row r="18" spans="2:17" ht="38.25" outlineLevel="3">
      <c r="B18" s="29" t="s">
        <v>50</v>
      </c>
      <c r="C18" s="37" t="s">
        <v>51</v>
      </c>
      <c r="D18" s="38" t="s">
        <v>52</v>
      </c>
      <c r="E18" s="32">
        <f t="shared" si="14"/>
        <v>0</v>
      </c>
      <c r="F18" s="33">
        <f t="shared" si="15"/>
        <v>0</v>
      </c>
      <c r="G18" s="33">
        <f t="shared" si="17"/>
        <v>0</v>
      </c>
      <c r="H18" s="34">
        <f t="shared" si="16"/>
        <v>0</v>
      </c>
      <c r="I18" s="35">
        <f t="shared" si="18"/>
        <v>0</v>
      </c>
      <c r="J18" s="36">
        <f t="shared" si="19"/>
        <v>0</v>
      </c>
      <c r="K18" s="36">
        <f t="shared" si="20"/>
        <v>0</v>
      </c>
      <c r="L18" s="36">
        <f t="shared" si="21"/>
        <v>0</v>
      </c>
      <c r="M18" s="36">
        <f t="shared" si="22"/>
        <v>0</v>
      </c>
      <c r="N18" s="36">
        <f t="shared" si="23"/>
        <v>0</v>
      </c>
      <c r="O18" s="36">
        <f t="shared" si="24"/>
        <v>0</v>
      </c>
      <c r="P18" s="36">
        <f t="shared" si="25"/>
        <v>0</v>
      </c>
      <c r="Q18" s="36">
        <f t="shared" si="26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 aca="true" t="shared" si="27" ref="E19:E20">657163.7</f>
        <v>657163.7</v>
      </c>
      <c r="F19" s="33">
        <f aca="true" t="shared" si="28" ref="F19:F20">563582.46</f>
        <v>563582.46</v>
      </c>
      <c r="G19" s="33">
        <f>480000</f>
        <v>480000</v>
      </c>
      <c r="H19" s="34">
        <f>448191.95</f>
        <v>448191.95</v>
      </c>
      <c r="I19" s="35">
        <f>475000</f>
        <v>475000</v>
      </c>
      <c r="J19" s="36">
        <f aca="true" t="shared" si="29" ref="J19:J20">500000</f>
        <v>500000</v>
      </c>
      <c r="K19" s="36">
        <f aca="true" t="shared" si="30" ref="K19:K20">470000</f>
        <v>470000</v>
      </c>
      <c r="L19" s="36">
        <f aca="true" t="shared" si="31" ref="L19:L20">440000</f>
        <v>440000</v>
      </c>
      <c r="M19" s="36">
        <f aca="true" t="shared" si="32" ref="M19:M20">380000</f>
        <v>380000</v>
      </c>
      <c r="N19" s="36">
        <f aca="true" t="shared" si="33" ref="N19:N20">300000</f>
        <v>300000</v>
      </c>
      <c r="O19" s="36">
        <f aca="true" t="shared" si="34" ref="O19:O20">210000</f>
        <v>210000</v>
      </c>
      <c r="P19" s="36">
        <f aca="true" t="shared" si="35" ref="P19:P20">130000</f>
        <v>130000</v>
      </c>
      <c r="Q19" s="36">
        <f aca="true" t="shared" si="36" ref="Q19:Q20">40000</f>
        <v>40000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 t="shared" si="27"/>
        <v>657163.7</v>
      </c>
      <c r="F20" s="33">
        <f t="shared" si="28"/>
        <v>563582.46</v>
      </c>
      <c r="G20" s="33">
        <f>475000</f>
        <v>475000</v>
      </c>
      <c r="H20" s="34">
        <f>443191.95</f>
        <v>443191.95</v>
      </c>
      <c r="I20" s="35">
        <f>470000</f>
        <v>470000</v>
      </c>
      <c r="J20" s="36">
        <f t="shared" si="29"/>
        <v>500000</v>
      </c>
      <c r="K20" s="36">
        <f t="shared" si="30"/>
        <v>470000</v>
      </c>
      <c r="L20" s="36">
        <f t="shared" si="31"/>
        <v>440000</v>
      </c>
      <c r="M20" s="36">
        <f t="shared" si="32"/>
        <v>380000</v>
      </c>
      <c r="N20" s="36">
        <f t="shared" si="33"/>
        <v>300000</v>
      </c>
      <c r="O20" s="36">
        <f t="shared" si="34"/>
        <v>210000</v>
      </c>
      <c r="P20" s="36">
        <f t="shared" si="35"/>
        <v>130000</v>
      </c>
      <c r="Q20" s="36">
        <f t="shared" si="36"/>
        <v>40000</v>
      </c>
    </row>
    <row r="21" spans="1:17" ht="41.25" customHeight="1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7" ref="E21:E22">0</f>
        <v>0</v>
      </c>
      <c r="F21" s="33">
        <f aca="true" t="shared" si="38" ref="F21:F22">0</f>
        <v>0</v>
      </c>
      <c r="G21" s="33">
        <f aca="true" t="shared" si="39" ref="G21:G22">0</f>
        <v>0</v>
      </c>
      <c r="H21" s="34">
        <f aca="true" t="shared" si="40" ref="H21:H22">0</f>
        <v>0</v>
      </c>
      <c r="I21" s="35">
        <f aca="true" t="shared" si="41" ref="I21:I22">0</f>
        <v>0</v>
      </c>
      <c r="J21" s="36">
        <f aca="true" t="shared" si="42" ref="J21:J22">0</f>
        <v>0</v>
      </c>
      <c r="K21" s="36">
        <f aca="true" t="shared" si="43" ref="K21:K22">0</f>
        <v>0</v>
      </c>
      <c r="L21" s="36">
        <f aca="true" t="shared" si="44" ref="L21:L22">0</f>
        <v>0</v>
      </c>
      <c r="M21" s="36">
        <f aca="true" t="shared" si="45" ref="M21:M22">0</f>
        <v>0</v>
      </c>
      <c r="N21" s="36">
        <f aca="true" t="shared" si="46" ref="N21:N22">0</f>
        <v>0</v>
      </c>
      <c r="O21" s="36">
        <f aca="true" t="shared" si="47" ref="O21:O22">0</f>
        <v>0</v>
      </c>
      <c r="P21" s="36">
        <f aca="true" t="shared" si="48" ref="P21:P22">0</f>
        <v>0</v>
      </c>
      <c r="Q21" s="36">
        <f aca="true" t="shared" si="49" ref="Q21:Q22">0</f>
        <v>0</v>
      </c>
    </row>
    <row r="22" spans="1:17" ht="25.5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7"/>
        <v>0</v>
      </c>
      <c r="F22" s="33">
        <f t="shared" si="38"/>
        <v>0</v>
      </c>
      <c r="G22" s="33">
        <f t="shared" si="39"/>
        <v>0</v>
      </c>
      <c r="H22" s="34">
        <f t="shared" si="40"/>
        <v>0</v>
      </c>
      <c r="I22" s="35">
        <f t="shared" si="41"/>
        <v>0</v>
      </c>
      <c r="J22" s="36">
        <f t="shared" si="42"/>
        <v>0</v>
      </c>
      <c r="K22" s="36">
        <f t="shared" si="43"/>
        <v>0</v>
      </c>
      <c r="L22" s="36">
        <f t="shared" si="44"/>
        <v>0</v>
      </c>
      <c r="M22" s="36">
        <f t="shared" si="45"/>
        <v>0</v>
      </c>
      <c r="N22" s="36">
        <f t="shared" si="46"/>
        <v>0</v>
      </c>
      <c r="O22" s="36">
        <f t="shared" si="47"/>
        <v>0</v>
      </c>
      <c r="P22" s="36">
        <f t="shared" si="48"/>
        <v>0</v>
      </c>
      <c r="Q22" s="36">
        <f t="shared" si="49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6829689.6</f>
        <v>6829689.6</v>
      </c>
      <c r="F23" s="33">
        <f>6081495.2</f>
        <v>6081495.2</v>
      </c>
      <c r="G23" s="33">
        <f>10519373</f>
        <v>10519373</v>
      </c>
      <c r="H23" s="34">
        <f>8099495.27</f>
        <v>8099495.27</v>
      </c>
      <c r="I23" s="35">
        <f>4205419.73</f>
        <v>4205419.73</v>
      </c>
      <c r="J23" s="36">
        <f>2774683.87</f>
        <v>2774683.87</v>
      </c>
      <c r="K23" s="36">
        <f>1721796</f>
        <v>1721796</v>
      </c>
      <c r="L23" s="36">
        <f>2039996</f>
        <v>2039996</v>
      </c>
      <c r="M23" s="36">
        <f>2189996</f>
        <v>2189996</v>
      </c>
      <c r="N23" s="36">
        <f>2689996</f>
        <v>2689996</v>
      </c>
      <c r="O23" s="36">
        <f>3149996</f>
        <v>3149996</v>
      </c>
      <c r="P23" s="36">
        <f>3482000</f>
        <v>3482000</v>
      </c>
      <c r="Q23" s="36">
        <f>4334308</f>
        <v>4334308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-105938.83</f>
        <v>-105938.83</v>
      </c>
      <c r="F24" s="24">
        <f>1409486.15</f>
        <v>1409486.15</v>
      </c>
      <c r="G24" s="24">
        <f>-5930398.38</f>
        <v>-5930398.38</v>
      </c>
      <c r="H24" s="25">
        <f>-2573798</f>
        <v>-2573798</v>
      </c>
      <c r="I24" s="26">
        <f>-2003908.38</f>
        <v>-2003908.38</v>
      </c>
      <c r="J24" s="27">
        <f>1478204</f>
        <v>1478204</v>
      </c>
      <c r="K24" s="27">
        <f>1678204</f>
        <v>1678204</v>
      </c>
      <c r="L24" s="27">
        <f>1860004</f>
        <v>1860004</v>
      </c>
      <c r="M24" s="27">
        <f>2210004</f>
        <v>2210004</v>
      </c>
      <c r="N24" s="27">
        <f>2210004</f>
        <v>2210004</v>
      </c>
      <c r="O24" s="27">
        <f>2250004</f>
        <v>2250004</v>
      </c>
      <c r="P24" s="27">
        <f>2418000</f>
        <v>2418000</v>
      </c>
      <c r="Q24" s="27">
        <f>2065692</f>
        <v>2065692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7317411.22</f>
        <v>7317411.22</v>
      </c>
      <c r="F25" s="24">
        <f>5010437.51</f>
        <v>5010437.51</v>
      </c>
      <c r="G25" s="24">
        <f>6846090.38</f>
        <v>6846090.38</v>
      </c>
      <c r="H25" s="25">
        <f>5893398.38</f>
        <v>5893398.38</v>
      </c>
      <c r="I25" s="26">
        <f>3219600.38</f>
        <v>3219600.38</v>
      </c>
      <c r="J25" s="27">
        <f aca="true" t="shared" si="50" ref="J25:J33">0</f>
        <v>0</v>
      </c>
      <c r="K25" s="27">
        <f aca="true" t="shared" si="51" ref="K25:K33">0</f>
        <v>0</v>
      </c>
      <c r="L25" s="27">
        <f aca="true" t="shared" si="52" ref="L25:L33">0</f>
        <v>0</v>
      </c>
      <c r="M25" s="27">
        <f aca="true" t="shared" si="53" ref="M25:M33">0</f>
        <v>0</v>
      </c>
      <c r="N25" s="27">
        <f aca="true" t="shared" si="54" ref="N25:N33">0</f>
        <v>0</v>
      </c>
      <c r="O25" s="27">
        <f aca="true" t="shared" si="55" ref="O25:O33">0</f>
        <v>0</v>
      </c>
      <c r="P25" s="27">
        <f aca="true" t="shared" si="56" ref="P25:P33">0</f>
        <v>0</v>
      </c>
      <c r="Q25" s="27">
        <f aca="true" t="shared" si="57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8" ref="E26:E27">0</f>
        <v>0</v>
      </c>
      <c r="F26" s="33">
        <f aca="true" t="shared" si="59" ref="F26:F27">0</f>
        <v>0</v>
      </c>
      <c r="G26" s="33">
        <f aca="true" t="shared" si="60" ref="G26:G27">0</f>
        <v>0</v>
      </c>
      <c r="H26" s="34">
        <f aca="true" t="shared" si="61" ref="H26:H27">0</f>
        <v>0</v>
      </c>
      <c r="I26" s="35">
        <f aca="true" t="shared" si="62" ref="I26:I27">0</f>
        <v>0</v>
      </c>
      <c r="J26" s="36">
        <f t="shared" si="50"/>
        <v>0</v>
      </c>
      <c r="K26" s="36">
        <f t="shared" si="51"/>
        <v>0</v>
      </c>
      <c r="L26" s="36">
        <f t="shared" si="52"/>
        <v>0</v>
      </c>
      <c r="M26" s="36">
        <f t="shared" si="53"/>
        <v>0</v>
      </c>
      <c r="N26" s="36">
        <f t="shared" si="54"/>
        <v>0</v>
      </c>
      <c r="O26" s="36">
        <f t="shared" si="55"/>
        <v>0</v>
      </c>
      <c r="P26" s="36">
        <f t="shared" si="56"/>
        <v>0</v>
      </c>
      <c r="Q26" s="36">
        <f t="shared" si="57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8"/>
        <v>0</v>
      </c>
      <c r="F27" s="33">
        <f t="shared" si="59"/>
        <v>0</v>
      </c>
      <c r="G27" s="33">
        <f t="shared" si="60"/>
        <v>0</v>
      </c>
      <c r="H27" s="34">
        <f t="shared" si="61"/>
        <v>0</v>
      </c>
      <c r="I27" s="35">
        <f t="shared" si="62"/>
        <v>0</v>
      </c>
      <c r="J27" s="36">
        <f t="shared" si="50"/>
        <v>0</v>
      </c>
      <c r="K27" s="36">
        <f t="shared" si="51"/>
        <v>0</v>
      </c>
      <c r="L27" s="36">
        <f t="shared" si="52"/>
        <v>0</v>
      </c>
      <c r="M27" s="36">
        <f t="shared" si="53"/>
        <v>0</v>
      </c>
      <c r="N27" s="36">
        <f t="shared" si="54"/>
        <v>0</v>
      </c>
      <c r="O27" s="36">
        <f t="shared" si="55"/>
        <v>0</v>
      </c>
      <c r="P27" s="36">
        <f t="shared" si="56"/>
        <v>0</v>
      </c>
      <c r="Q27" s="36">
        <f t="shared" si="57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2607411.22</f>
        <v>2607411.22</v>
      </c>
      <c r="F28" s="33">
        <f aca="true" t="shared" si="63" ref="F28:F29">2502437.51</f>
        <v>2502437.51</v>
      </c>
      <c r="G28" s="33">
        <f aca="true" t="shared" si="64" ref="G28:G29">4393398.38</f>
        <v>4393398.38</v>
      </c>
      <c r="H28" s="34">
        <f>4393398.38</f>
        <v>4393398.38</v>
      </c>
      <c r="I28" s="35">
        <f>2403908.38</f>
        <v>2403908.38</v>
      </c>
      <c r="J28" s="36">
        <f t="shared" si="50"/>
        <v>0</v>
      </c>
      <c r="K28" s="36">
        <f t="shared" si="51"/>
        <v>0</v>
      </c>
      <c r="L28" s="36">
        <f t="shared" si="52"/>
        <v>0</v>
      </c>
      <c r="M28" s="36">
        <f t="shared" si="53"/>
        <v>0</v>
      </c>
      <c r="N28" s="36">
        <f t="shared" si="54"/>
        <v>0</v>
      </c>
      <c r="O28" s="36">
        <f t="shared" si="55"/>
        <v>0</v>
      </c>
      <c r="P28" s="36">
        <f t="shared" si="56"/>
        <v>0</v>
      </c>
      <c r="Q28" s="36">
        <f t="shared" si="57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105938.83</f>
        <v>105938.83</v>
      </c>
      <c r="F29" s="33">
        <f t="shared" si="63"/>
        <v>2502437.51</v>
      </c>
      <c r="G29" s="33">
        <f t="shared" si="64"/>
        <v>4393398.38</v>
      </c>
      <c r="H29" s="34">
        <f>2573759.75</f>
        <v>2573759.75</v>
      </c>
      <c r="I29" s="35">
        <f>1188216.38</f>
        <v>1188216.38</v>
      </c>
      <c r="J29" s="36">
        <f t="shared" si="50"/>
        <v>0</v>
      </c>
      <c r="K29" s="36">
        <f t="shared" si="51"/>
        <v>0</v>
      </c>
      <c r="L29" s="36">
        <f t="shared" si="52"/>
        <v>0</v>
      </c>
      <c r="M29" s="36">
        <f t="shared" si="53"/>
        <v>0</v>
      </c>
      <c r="N29" s="36">
        <f t="shared" si="54"/>
        <v>0</v>
      </c>
      <c r="O29" s="36">
        <f t="shared" si="55"/>
        <v>0</v>
      </c>
      <c r="P29" s="36">
        <f t="shared" si="56"/>
        <v>0</v>
      </c>
      <c r="Q29" s="36">
        <f t="shared" si="57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4710000</f>
        <v>4710000</v>
      </c>
      <c r="F30" s="33">
        <f>2508000</f>
        <v>2508000</v>
      </c>
      <c r="G30" s="33">
        <f>2452692</f>
        <v>2452692</v>
      </c>
      <c r="H30" s="34">
        <f>1500000</f>
        <v>1500000</v>
      </c>
      <c r="I30" s="35">
        <f aca="true" t="shared" si="65" ref="I30:I31">815692</f>
        <v>815692</v>
      </c>
      <c r="J30" s="36">
        <f t="shared" si="50"/>
        <v>0</v>
      </c>
      <c r="K30" s="36">
        <f t="shared" si="51"/>
        <v>0</v>
      </c>
      <c r="L30" s="36">
        <f t="shared" si="52"/>
        <v>0</v>
      </c>
      <c r="M30" s="36">
        <f t="shared" si="53"/>
        <v>0</v>
      </c>
      <c r="N30" s="36">
        <f t="shared" si="54"/>
        <v>0</v>
      </c>
      <c r="O30" s="36">
        <f t="shared" si="55"/>
        <v>0</v>
      </c>
      <c r="P30" s="36">
        <f t="shared" si="56"/>
        <v>0</v>
      </c>
      <c r="Q30" s="36">
        <f t="shared" si="57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6" ref="E31:E33">0</f>
        <v>0</v>
      </c>
      <c r="F31" s="33">
        <f aca="true" t="shared" si="67" ref="F31:F33">0</f>
        <v>0</v>
      </c>
      <c r="G31" s="33">
        <f>1537000</f>
        <v>1537000</v>
      </c>
      <c r="H31" s="34">
        <f aca="true" t="shared" si="68" ref="H31:H33">0</f>
        <v>0</v>
      </c>
      <c r="I31" s="35">
        <f t="shared" si="65"/>
        <v>815692</v>
      </c>
      <c r="J31" s="36">
        <f t="shared" si="50"/>
        <v>0</v>
      </c>
      <c r="K31" s="36">
        <f t="shared" si="51"/>
        <v>0</v>
      </c>
      <c r="L31" s="36">
        <f t="shared" si="52"/>
        <v>0</v>
      </c>
      <c r="M31" s="36">
        <f t="shared" si="53"/>
        <v>0</v>
      </c>
      <c r="N31" s="36">
        <f t="shared" si="54"/>
        <v>0</v>
      </c>
      <c r="O31" s="36">
        <f t="shared" si="55"/>
        <v>0</v>
      </c>
      <c r="P31" s="36">
        <f t="shared" si="56"/>
        <v>0</v>
      </c>
      <c r="Q31" s="36">
        <f t="shared" si="57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6"/>
        <v>0</v>
      </c>
      <c r="F32" s="33">
        <f t="shared" si="67"/>
        <v>0</v>
      </c>
      <c r="G32" s="33">
        <f aca="true" t="shared" si="69" ref="G32:G33">0</f>
        <v>0</v>
      </c>
      <c r="H32" s="34">
        <f t="shared" si="68"/>
        <v>0</v>
      </c>
      <c r="I32" s="35">
        <f aca="true" t="shared" si="70" ref="I32:I33">0</f>
        <v>0</v>
      </c>
      <c r="J32" s="36">
        <f t="shared" si="50"/>
        <v>0</v>
      </c>
      <c r="K32" s="36">
        <f t="shared" si="51"/>
        <v>0</v>
      </c>
      <c r="L32" s="36">
        <f t="shared" si="52"/>
        <v>0</v>
      </c>
      <c r="M32" s="36">
        <f t="shared" si="53"/>
        <v>0</v>
      </c>
      <c r="N32" s="36">
        <f t="shared" si="54"/>
        <v>0</v>
      </c>
      <c r="O32" s="36">
        <f t="shared" si="55"/>
        <v>0</v>
      </c>
      <c r="P32" s="36">
        <f t="shared" si="56"/>
        <v>0</v>
      </c>
      <c r="Q32" s="36">
        <f t="shared" si="57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6"/>
        <v>0</v>
      </c>
      <c r="F33" s="33">
        <f t="shared" si="67"/>
        <v>0</v>
      </c>
      <c r="G33" s="33">
        <f t="shared" si="69"/>
        <v>0</v>
      </c>
      <c r="H33" s="34">
        <f t="shared" si="68"/>
        <v>0</v>
      </c>
      <c r="I33" s="35">
        <f t="shared" si="70"/>
        <v>0</v>
      </c>
      <c r="J33" s="36">
        <f t="shared" si="50"/>
        <v>0</v>
      </c>
      <c r="K33" s="36">
        <f t="shared" si="51"/>
        <v>0</v>
      </c>
      <c r="L33" s="36">
        <f t="shared" si="52"/>
        <v>0</v>
      </c>
      <c r="M33" s="36">
        <f t="shared" si="53"/>
        <v>0</v>
      </c>
      <c r="N33" s="36">
        <f t="shared" si="54"/>
        <v>0</v>
      </c>
      <c r="O33" s="36">
        <f t="shared" si="55"/>
        <v>0</v>
      </c>
      <c r="P33" s="36">
        <f t="shared" si="56"/>
        <v>0</v>
      </c>
      <c r="Q33" s="36">
        <f t="shared" si="57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71" ref="E34:E35">1903176.7</f>
        <v>1903176.7</v>
      </c>
      <c r="F34" s="24">
        <f aca="true" t="shared" si="72" ref="F34:F35">2026525.28</f>
        <v>2026525.28</v>
      </c>
      <c r="G34" s="24">
        <f aca="true" t="shared" si="73" ref="G34:G35">915692</f>
        <v>915692</v>
      </c>
      <c r="H34" s="25">
        <f aca="true" t="shared" si="74" ref="H34:H35">915692</f>
        <v>915692</v>
      </c>
      <c r="I34" s="26">
        <f aca="true" t="shared" si="75" ref="I34:I35">1215692</f>
        <v>1215692</v>
      </c>
      <c r="J34" s="27">
        <f aca="true" t="shared" si="76" ref="J34:J35">1478204</f>
        <v>1478204</v>
      </c>
      <c r="K34" s="27">
        <f aca="true" t="shared" si="77" ref="K34:K35">1678204</f>
        <v>1678204</v>
      </c>
      <c r="L34" s="27">
        <f aca="true" t="shared" si="78" ref="L34:L35">1860004</f>
        <v>1860004</v>
      </c>
      <c r="M34" s="27">
        <f aca="true" t="shared" si="79" ref="M34:M35">2210004</f>
        <v>2210004</v>
      </c>
      <c r="N34" s="27">
        <f aca="true" t="shared" si="80" ref="N34:N35">2210004</f>
        <v>2210004</v>
      </c>
      <c r="O34" s="27">
        <f aca="true" t="shared" si="81" ref="O34:O35">2250004</f>
        <v>2250004</v>
      </c>
      <c r="P34" s="27">
        <f aca="true" t="shared" si="82" ref="P34:P35">2418000</f>
        <v>2418000</v>
      </c>
      <c r="Q34" s="27">
        <f aca="true" t="shared" si="83" ref="Q34:Q35">2065692</f>
        <v>2065692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71"/>
        <v>1903176.7</v>
      </c>
      <c r="F35" s="33">
        <f t="shared" si="72"/>
        <v>2026525.28</v>
      </c>
      <c r="G35" s="33">
        <f t="shared" si="73"/>
        <v>915692</v>
      </c>
      <c r="H35" s="34">
        <f t="shared" si="74"/>
        <v>915692</v>
      </c>
      <c r="I35" s="35">
        <f t="shared" si="75"/>
        <v>1215692</v>
      </c>
      <c r="J35" s="36">
        <f t="shared" si="76"/>
        <v>1478204</v>
      </c>
      <c r="K35" s="36">
        <f t="shared" si="77"/>
        <v>1678204</v>
      </c>
      <c r="L35" s="36">
        <f t="shared" si="78"/>
        <v>1860004</v>
      </c>
      <c r="M35" s="36">
        <f t="shared" si="79"/>
        <v>2210004</v>
      </c>
      <c r="N35" s="36">
        <f t="shared" si="80"/>
        <v>2210004</v>
      </c>
      <c r="O35" s="36">
        <f t="shared" si="81"/>
        <v>2250004</v>
      </c>
      <c r="P35" s="36">
        <f t="shared" si="82"/>
        <v>2418000</v>
      </c>
      <c r="Q35" s="36">
        <f t="shared" si="83"/>
        <v>2065692</v>
      </c>
    </row>
    <row r="36" spans="1:17" ht="25.5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84" ref="E36:E40">0</f>
        <v>0</v>
      </c>
      <c r="F36" s="33">
        <f aca="true" t="shared" si="85" ref="F36:F40">0</f>
        <v>0</v>
      </c>
      <c r="G36" s="33">
        <f aca="true" t="shared" si="86" ref="G36:G40">0</f>
        <v>0</v>
      </c>
      <c r="H36" s="34">
        <f aca="true" t="shared" si="87" ref="H36:H40">0</f>
        <v>0</v>
      </c>
      <c r="I36" s="35">
        <f aca="true" t="shared" si="88" ref="I36:I40">0</f>
        <v>0</v>
      </c>
      <c r="J36" s="36">
        <f aca="true" t="shared" si="89" ref="J36:J40">0</f>
        <v>0</v>
      </c>
      <c r="K36" s="36">
        <f aca="true" t="shared" si="90" ref="K36:K40">0</f>
        <v>0</v>
      </c>
      <c r="L36" s="36">
        <f aca="true" t="shared" si="91" ref="L36:L40">0</f>
        <v>0</v>
      </c>
      <c r="M36" s="36">
        <f aca="true" t="shared" si="92" ref="M36:M40">0</f>
        <v>0</v>
      </c>
      <c r="N36" s="36">
        <f aca="true" t="shared" si="93" ref="N36:N40">0</f>
        <v>0</v>
      </c>
      <c r="O36" s="36">
        <f aca="true" t="shared" si="94" ref="O36:O40">0</f>
        <v>0</v>
      </c>
      <c r="P36" s="36">
        <f aca="true" t="shared" si="95" ref="P36:P40">0</f>
        <v>0</v>
      </c>
      <c r="Q36" s="36">
        <f aca="true" t="shared" si="96" ref="Q36:Q42">0</f>
        <v>0</v>
      </c>
    </row>
    <row r="37" spans="1:17" ht="16.5" customHeight="1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84"/>
        <v>0</v>
      </c>
      <c r="F37" s="33">
        <f t="shared" si="85"/>
        <v>0</v>
      </c>
      <c r="G37" s="33">
        <f t="shared" si="86"/>
        <v>0</v>
      </c>
      <c r="H37" s="34">
        <f t="shared" si="87"/>
        <v>0</v>
      </c>
      <c r="I37" s="35">
        <f t="shared" si="88"/>
        <v>0</v>
      </c>
      <c r="J37" s="36">
        <f t="shared" si="89"/>
        <v>0</v>
      </c>
      <c r="K37" s="36">
        <f t="shared" si="90"/>
        <v>0</v>
      </c>
      <c r="L37" s="36">
        <f t="shared" si="91"/>
        <v>0</v>
      </c>
      <c r="M37" s="36">
        <f t="shared" si="92"/>
        <v>0</v>
      </c>
      <c r="N37" s="36">
        <f t="shared" si="93"/>
        <v>0</v>
      </c>
      <c r="O37" s="36">
        <f t="shared" si="94"/>
        <v>0</v>
      </c>
      <c r="P37" s="36">
        <f t="shared" si="95"/>
        <v>0</v>
      </c>
      <c r="Q37" s="36">
        <f t="shared" si="96"/>
        <v>0</v>
      </c>
    </row>
    <row r="38" spans="1:17" ht="15" customHeight="1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84"/>
        <v>0</v>
      </c>
      <c r="F38" s="33">
        <f t="shared" si="85"/>
        <v>0</v>
      </c>
      <c r="G38" s="33">
        <f t="shared" si="86"/>
        <v>0</v>
      </c>
      <c r="H38" s="34">
        <f t="shared" si="87"/>
        <v>0</v>
      </c>
      <c r="I38" s="35">
        <f t="shared" si="88"/>
        <v>0</v>
      </c>
      <c r="J38" s="36">
        <f t="shared" si="89"/>
        <v>0</v>
      </c>
      <c r="K38" s="36">
        <f t="shared" si="90"/>
        <v>0</v>
      </c>
      <c r="L38" s="36">
        <f t="shared" si="91"/>
        <v>0</v>
      </c>
      <c r="M38" s="36">
        <f t="shared" si="92"/>
        <v>0</v>
      </c>
      <c r="N38" s="36">
        <f t="shared" si="93"/>
        <v>0</v>
      </c>
      <c r="O38" s="36">
        <f t="shared" si="94"/>
        <v>0</v>
      </c>
      <c r="P38" s="36">
        <f t="shared" si="95"/>
        <v>0</v>
      </c>
      <c r="Q38" s="36">
        <f t="shared" si="96"/>
        <v>0</v>
      </c>
    </row>
    <row r="39" spans="1:17" ht="14.25" customHeight="1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84"/>
        <v>0</v>
      </c>
      <c r="F39" s="33">
        <f t="shared" si="85"/>
        <v>0</v>
      </c>
      <c r="G39" s="33">
        <f t="shared" si="86"/>
        <v>0</v>
      </c>
      <c r="H39" s="34">
        <f t="shared" si="87"/>
        <v>0</v>
      </c>
      <c r="I39" s="35">
        <f t="shared" si="88"/>
        <v>0</v>
      </c>
      <c r="J39" s="36">
        <f t="shared" si="89"/>
        <v>0</v>
      </c>
      <c r="K39" s="36">
        <f t="shared" si="90"/>
        <v>0</v>
      </c>
      <c r="L39" s="36">
        <f t="shared" si="91"/>
        <v>0</v>
      </c>
      <c r="M39" s="36">
        <f t="shared" si="92"/>
        <v>0</v>
      </c>
      <c r="N39" s="36">
        <f t="shared" si="93"/>
        <v>0</v>
      </c>
      <c r="O39" s="36">
        <f t="shared" si="94"/>
        <v>0</v>
      </c>
      <c r="P39" s="36">
        <f t="shared" si="95"/>
        <v>0</v>
      </c>
      <c r="Q39" s="36">
        <f t="shared" si="96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84"/>
        <v>0</v>
      </c>
      <c r="F40" s="33">
        <f t="shared" si="85"/>
        <v>0</v>
      </c>
      <c r="G40" s="33">
        <f t="shared" si="86"/>
        <v>0</v>
      </c>
      <c r="H40" s="34">
        <f t="shared" si="87"/>
        <v>0</v>
      </c>
      <c r="I40" s="35">
        <f t="shared" si="88"/>
        <v>0</v>
      </c>
      <c r="J40" s="36">
        <f t="shared" si="89"/>
        <v>0</v>
      </c>
      <c r="K40" s="36">
        <f t="shared" si="90"/>
        <v>0</v>
      </c>
      <c r="L40" s="36">
        <f t="shared" si="91"/>
        <v>0</v>
      </c>
      <c r="M40" s="36">
        <f t="shared" si="92"/>
        <v>0</v>
      </c>
      <c r="N40" s="36">
        <f t="shared" si="93"/>
        <v>0</v>
      </c>
      <c r="O40" s="36">
        <f t="shared" si="94"/>
        <v>0</v>
      </c>
      <c r="P40" s="36">
        <f t="shared" si="95"/>
        <v>0</v>
      </c>
      <c r="Q40" s="36">
        <f t="shared" si="96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15503368.16</f>
        <v>15503368.16</v>
      </c>
      <c r="F41" s="24">
        <f>15985808</f>
        <v>15985808</v>
      </c>
      <c r="G41" s="24">
        <f>17522808</f>
        <v>17522808</v>
      </c>
      <c r="H41" s="25">
        <f>16570116</f>
        <v>16570116</v>
      </c>
      <c r="I41" s="26">
        <f>16170116</f>
        <v>16170116</v>
      </c>
      <c r="J41" s="27">
        <f>14691912</f>
        <v>14691912</v>
      </c>
      <c r="K41" s="27">
        <f>13013708</f>
        <v>13013708</v>
      </c>
      <c r="L41" s="27">
        <f>11153704</f>
        <v>11153704</v>
      </c>
      <c r="M41" s="27">
        <f>8943700</f>
        <v>8943700</v>
      </c>
      <c r="N41" s="27">
        <f>6733696</f>
        <v>6733696</v>
      </c>
      <c r="O41" s="27">
        <f>4483692</f>
        <v>4483692</v>
      </c>
      <c r="P41" s="27">
        <f>2065692</f>
        <v>2065692</v>
      </c>
      <c r="Q41" s="27">
        <f t="shared" si="96"/>
        <v>0</v>
      </c>
      <c r="R41" s="28"/>
    </row>
    <row r="42" spans="2:18" ht="25.5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96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2126924.56</f>
        <v>2126924.56</v>
      </c>
      <c r="F44" s="33">
        <f>2820812.79</f>
        <v>2820812.79</v>
      </c>
      <c r="G44" s="33">
        <f>1779431.18</f>
        <v>1779431.18</v>
      </c>
      <c r="H44" s="34">
        <f>2650082.59</f>
        <v>2650082.59</v>
      </c>
      <c r="I44" s="35">
        <f>1132446.82</f>
        <v>1132446.82</v>
      </c>
      <c r="J44" s="36">
        <f aca="true" t="shared" si="97" ref="J44:J45">3000000</f>
        <v>3000000</v>
      </c>
      <c r="K44" s="36">
        <f aca="true" t="shared" si="98" ref="K44:K45">3400000</f>
        <v>3400000</v>
      </c>
      <c r="L44" s="36">
        <f aca="true" t="shared" si="99" ref="L44:L45">3900000</f>
        <v>3900000</v>
      </c>
      <c r="M44" s="36">
        <f aca="true" t="shared" si="100" ref="M44:M45">4400000</f>
        <v>4400000</v>
      </c>
      <c r="N44" s="36">
        <f aca="true" t="shared" si="101" ref="N44:N45">4900000</f>
        <v>4900000</v>
      </c>
      <c r="O44" s="36">
        <f aca="true" t="shared" si="102" ref="O44:O45">5400000</f>
        <v>5400000</v>
      </c>
      <c r="P44" s="36">
        <f aca="true" t="shared" si="103" ref="P44:P45">5900000</f>
        <v>5900000</v>
      </c>
      <c r="Q44" s="36">
        <f aca="true" t="shared" si="104" ref="Q44:Q45">6400000</f>
        <v>6400000</v>
      </c>
    </row>
    <row r="45" spans="2:17" ht="12" customHeight="1" outlineLevel="2">
      <c r="B45" s="29" t="s">
        <v>112</v>
      </c>
      <c r="C45" s="37" t="s">
        <v>113</v>
      </c>
      <c r="D45" s="31" t="s">
        <v>114</v>
      </c>
      <c r="E45" s="32">
        <f>4734335.78</f>
        <v>4734335.78</v>
      </c>
      <c r="F45" s="33">
        <f>5323250.3</f>
        <v>5323250.3</v>
      </c>
      <c r="G45" s="33">
        <f>6172829.56</f>
        <v>6172829.56</v>
      </c>
      <c r="H45" s="34">
        <f>7043480.97</f>
        <v>7043480.97</v>
      </c>
      <c r="I45" s="35">
        <f>3536355.2</f>
        <v>3536355.2</v>
      </c>
      <c r="J45" s="36">
        <f t="shared" si="97"/>
        <v>3000000</v>
      </c>
      <c r="K45" s="36">
        <f t="shared" si="98"/>
        <v>3400000</v>
      </c>
      <c r="L45" s="36">
        <f t="shared" si="99"/>
        <v>3900000</v>
      </c>
      <c r="M45" s="36">
        <f t="shared" si="100"/>
        <v>4400000</v>
      </c>
      <c r="N45" s="36">
        <f t="shared" si="101"/>
        <v>4900000</v>
      </c>
      <c r="O45" s="36">
        <f t="shared" si="102"/>
        <v>5400000</v>
      </c>
      <c r="P45" s="36">
        <f t="shared" si="103"/>
        <v>5900000</v>
      </c>
      <c r="Q45" s="36">
        <f t="shared" si="104"/>
        <v>6400000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8.25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105" ref="E47:E48">0.0694</f>
        <v>0.0694</v>
      </c>
      <c r="F47" s="47">
        <f aca="true" t="shared" si="106" ref="F47:F48">0.0668</f>
        <v>0.0668</v>
      </c>
      <c r="G47" s="47">
        <f aca="true" t="shared" si="107" ref="G47:G48">0.0388</f>
        <v>0.0388</v>
      </c>
      <c r="H47" s="48">
        <f aca="true" t="shared" si="108" ref="H47:H48">0.0365</f>
        <v>0.0365</v>
      </c>
      <c r="I47" s="49">
        <f aca="true" t="shared" si="109" ref="I47:I48">0.0424</f>
        <v>0.0424</v>
      </c>
      <c r="J47" s="50">
        <f aca="true" t="shared" si="110" ref="J47:J48">0.0532</f>
        <v>0.0532</v>
      </c>
      <c r="K47" s="50">
        <f aca="true" t="shared" si="111" ref="K47:K48">0.0581</f>
        <v>0.0581</v>
      </c>
      <c r="L47" s="50">
        <f aca="true" t="shared" si="112" ref="L47:L48">0.0604</f>
        <v>0.0604</v>
      </c>
      <c r="M47" s="50">
        <f aca="true" t="shared" si="113" ref="M47:M48">0.0661</f>
        <v>0.0661</v>
      </c>
      <c r="N47" s="50">
        <f aca="true" t="shared" si="114" ref="N47:N48">0.0626</f>
        <v>0.0626</v>
      </c>
      <c r="O47" s="50">
        <f aca="true" t="shared" si="115" ref="O47:O48">0.0601</f>
        <v>0.0601</v>
      </c>
      <c r="P47" s="50">
        <f aca="true" t="shared" si="116" ref="P47:P48">0.0608</f>
        <v>0.0608</v>
      </c>
      <c r="Q47" s="50">
        <f aca="true" t="shared" si="117" ref="Q47:Q48">0.0496</f>
        <v>0.0496</v>
      </c>
    </row>
    <row r="48" spans="1:17" ht="38.25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105"/>
        <v>0.0694</v>
      </c>
      <c r="F48" s="47">
        <f t="shared" si="106"/>
        <v>0.0668</v>
      </c>
      <c r="G48" s="47">
        <f t="shared" si="107"/>
        <v>0.0388</v>
      </c>
      <c r="H48" s="48">
        <f t="shared" si="108"/>
        <v>0.0365</v>
      </c>
      <c r="I48" s="49">
        <f t="shared" si="109"/>
        <v>0.0424</v>
      </c>
      <c r="J48" s="50">
        <f t="shared" si="110"/>
        <v>0.0532</v>
      </c>
      <c r="K48" s="50">
        <f t="shared" si="111"/>
        <v>0.0581</v>
      </c>
      <c r="L48" s="50">
        <f t="shared" si="112"/>
        <v>0.0604</v>
      </c>
      <c r="M48" s="50">
        <f t="shared" si="113"/>
        <v>0.0661</v>
      </c>
      <c r="N48" s="50">
        <f t="shared" si="114"/>
        <v>0.0626</v>
      </c>
      <c r="O48" s="50">
        <f t="shared" si="115"/>
        <v>0.0601</v>
      </c>
      <c r="P48" s="50">
        <f t="shared" si="116"/>
        <v>0.0608</v>
      </c>
      <c r="Q48" s="50">
        <f t="shared" si="117"/>
        <v>0.0496</v>
      </c>
    </row>
    <row r="49" spans="1:17" ht="25.5" customHeight="1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8.25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0.0694</f>
        <v>0.0694</v>
      </c>
      <c r="F50" s="47">
        <f>0.0668</f>
        <v>0.0668</v>
      </c>
      <c r="G50" s="47">
        <f>0.0388</f>
        <v>0.0388</v>
      </c>
      <c r="H50" s="48">
        <f>0.0365</f>
        <v>0.0365</v>
      </c>
      <c r="I50" s="49">
        <f>0.0424</f>
        <v>0.0424</v>
      </c>
      <c r="J50" s="50">
        <f>0.0532</f>
        <v>0.0532</v>
      </c>
      <c r="K50" s="50">
        <f>0.0581</f>
        <v>0.0581</v>
      </c>
      <c r="L50" s="50">
        <f>0.0604</f>
        <v>0.0604</v>
      </c>
      <c r="M50" s="50">
        <f>0.0661</f>
        <v>0.0661</v>
      </c>
      <c r="N50" s="50">
        <f>0.0626</f>
        <v>0.0626</v>
      </c>
      <c r="O50" s="50">
        <f>0.0601</f>
        <v>0.0601</v>
      </c>
      <c r="P50" s="50">
        <f>0.0608</f>
        <v>0.0608</v>
      </c>
      <c r="Q50" s="50">
        <f>0.0496</f>
        <v>0.0496</v>
      </c>
    </row>
    <row r="51" spans="1:17" ht="26.25" customHeight="1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0.0630303385930425</v>
      </c>
      <c r="F51" s="47">
        <f>+IF(AND(F2&gt;=2013,F2&lt;=2018),IF(F3&lt;&gt;0,(F4+F12-F15+F18)/F3,0),IF(F3&lt;&gt;0,(F4+F12-F15)/F3,0))</f>
        <v>0.0790396823287148</v>
      </c>
      <c r="G51" s="47">
        <f>+IF(AND(G2&gt;=2013,G2&lt;=2018),IF(G3&lt;&gt;0,(G4+G12-G15+G18)/G3,0),IF(G3&lt;&gt;0,(G4+G12-G15)/G3,0))</f>
        <v>0.04925601385891409</v>
      </c>
      <c r="H51" s="48">
        <f>+IF(AND(H2&gt;=2013,H2&lt;=2018),IF(H3&lt;&gt;0,(H4+H12-H15+H18)/H3,0),IF(H3&lt;&gt;0,(H4+H12-H15)/H3,0))</f>
        <v>0.07205793487615884</v>
      </c>
      <c r="I51" s="49">
        <f>+IF(AND(I2&gt;=2013,I2&lt;=2018),IF(I3&lt;&gt;0,(I4+I12-I15+I18)/I3,0),IF(I3&lt;&gt;0,(I4+I12-I15)/I3,0))</f>
        <v>0.030770358078982343</v>
      </c>
      <c r="J51" s="50">
        <f>+IF(AND(J2&gt;=2013,J2&lt;=2018),IF(J3&lt;&gt;0,(J4+J12-J15+J18)/J3,0),IF(J3&lt;&gt;0,(J4+J12-J15)/J3,0))</f>
        <v>0.07623328712013024</v>
      </c>
      <c r="K51" s="50">
        <f>+IF(AND(K2&gt;=2013,K2&lt;=2018),IF(K3&lt;&gt;0,(K4+K12-K15+K18)/K3,0),IF(K3&lt;&gt;0,(K4+K12-K15)/K3,0))</f>
        <v>0.08717948717948718</v>
      </c>
      <c r="L51" s="50">
        <f>+IF(AND(L2&gt;=2013,L2&lt;=2018),IF(L3&lt;&gt;0,(L4+L12-L15+L18)/L3,0),IF(L3&lt;&gt;0,(L4+L12-L15)/L3,0))</f>
        <v>0.0975</v>
      </c>
      <c r="M51" s="50">
        <f>+IF(AND(M2&gt;=2013,M2&lt;=2018),IF(M3&lt;&gt;0,(M4+M12-M15+M18)/M3,0),IF(M3&lt;&gt;0,(M4+M12-M15)/M3,0))</f>
        <v>0.1073170731707317</v>
      </c>
      <c r="N51" s="50">
        <f>+IF(AND(N2&gt;=2013,N2&lt;=2018),IF(N3&lt;&gt;0,(N4+N12-N15+N18)/N3,0),IF(N3&lt;&gt;0,(N4+N12-N15)/N3,0))</f>
        <v>0.11666666666666667</v>
      </c>
      <c r="O51" s="50">
        <f>+IF(AND(O2&gt;=2013,O2&lt;=2018),IF(O3&lt;&gt;0,(O4+O12-O15+O18)/O3,0),IF(O3&lt;&gt;0,(O4+O12-O15)/O3,0))</f>
        <v>0.12558139534883722</v>
      </c>
      <c r="P51" s="50">
        <f>+IF(AND(P2&gt;=2013,P2&lt;=2018),IF(P3&lt;&gt;0,(P4+P12-P15+P18)/P3,0),IF(P3&lt;&gt;0,(P4+P12-P15)/P3,0))</f>
        <v>0.1340909090909091</v>
      </c>
      <c r="Q51" s="50">
        <f>+IF(AND(Q2&gt;=2013,Q2&lt;=2018),IF(Q3&lt;&gt;0,(Q4+Q12-Q15+Q18)/Q3,0),IF(Q3&lt;&gt;0,(Q4+Q12-Q15)/Q3,0))</f>
        <v>0.14222222222222222</v>
      </c>
    </row>
    <row r="52" spans="1:17" ht="38.25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>0.0638</f>
        <v>0.0638</v>
      </c>
      <c r="J52" s="50">
        <f>0.053</f>
        <v>0.053</v>
      </c>
      <c r="K52" s="50">
        <f>0.0521</f>
        <v>0.0521</v>
      </c>
      <c r="L52" s="50">
        <f aca="true" t="shared" si="118" ref="L52:L53">0.0647</f>
        <v>0.0647</v>
      </c>
      <c r="M52" s="50">
        <f aca="true" t="shared" si="119" ref="M52:M53">0.087</f>
        <v>0.087</v>
      </c>
      <c r="N52" s="50">
        <f aca="true" t="shared" si="120" ref="N52:N53">0.0973</f>
        <v>0.0973</v>
      </c>
      <c r="O52" s="50">
        <f aca="true" t="shared" si="121" ref="O52:O53">0.1072</f>
        <v>0.1072</v>
      </c>
      <c r="P52" s="50">
        <f aca="true" t="shared" si="122" ref="P52:P53">0.1165</f>
        <v>0.1165</v>
      </c>
      <c r="Q52" s="50">
        <f aca="true" t="shared" si="123" ref="Q52:Q53">0.1255</f>
        <v>0.1255</v>
      </c>
    </row>
    <row r="53" spans="1:17" ht="38.25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>0.0714</f>
        <v>0.0714</v>
      </c>
      <c r="J53" s="50">
        <f>0.0606</f>
        <v>0.0606</v>
      </c>
      <c r="K53" s="50">
        <f>0.0597</f>
        <v>0.0597</v>
      </c>
      <c r="L53" s="50">
        <f t="shared" si="118"/>
        <v>0.0647</v>
      </c>
      <c r="M53" s="50">
        <f t="shared" si="119"/>
        <v>0.087</v>
      </c>
      <c r="N53" s="50">
        <f t="shared" si="120"/>
        <v>0.0973</v>
      </c>
      <c r="O53" s="50">
        <f t="shared" si="121"/>
        <v>0.1072</v>
      </c>
      <c r="P53" s="50">
        <f t="shared" si="122"/>
        <v>0.1165</v>
      </c>
      <c r="Q53" s="50">
        <f t="shared" si="123"/>
        <v>0.1255</v>
      </c>
    </row>
    <row r="54" spans="1:17" ht="39" customHeight="1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9" customHeight="1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24" ref="E56:E57">0</f>
        <v>0</v>
      </c>
      <c r="F56" s="24">
        <f aca="true" t="shared" si="125" ref="F56:F57">0</f>
        <v>0</v>
      </c>
      <c r="G56" s="24">
        <f aca="true" t="shared" si="126" ref="G56:G57">0</f>
        <v>0</v>
      </c>
      <c r="H56" s="25">
        <f aca="true" t="shared" si="127" ref="H56:H57">0</f>
        <v>0</v>
      </c>
      <c r="I56" s="26">
        <f aca="true" t="shared" si="128" ref="I56:I57">0</f>
        <v>0</v>
      </c>
      <c r="J56" s="27">
        <f aca="true" t="shared" si="129" ref="J56:J57">1478204</f>
        <v>1478204</v>
      </c>
      <c r="K56" s="27">
        <f aca="true" t="shared" si="130" ref="K56:K57">1678204</f>
        <v>1678204</v>
      </c>
      <c r="L56" s="27">
        <f aca="true" t="shared" si="131" ref="L56:L57">1860004</f>
        <v>1860004</v>
      </c>
      <c r="M56" s="27">
        <f aca="true" t="shared" si="132" ref="M56:M57">2210004</f>
        <v>2210004</v>
      </c>
      <c r="N56" s="27">
        <f aca="true" t="shared" si="133" ref="N56:N57">2210004</f>
        <v>2210004</v>
      </c>
      <c r="O56" s="27">
        <f aca="true" t="shared" si="134" ref="O56:O57">2250004</f>
        <v>2250004</v>
      </c>
      <c r="P56" s="27">
        <f aca="true" t="shared" si="135" ref="P56:P57">2418000</f>
        <v>2418000</v>
      </c>
      <c r="Q56" s="27">
        <f>2065692</f>
        <v>2065692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24"/>
        <v>0</v>
      </c>
      <c r="F57" s="33">
        <f t="shared" si="125"/>
        <v>0</v>
      </c>
      <c r="G57" s="33">
        <f t="shared" si="126"/>
        <v>0</v>
      </c>
      <c r="H57" s="34">
        <f t="shared" si="127"/>
        <v>0</v>
      </c>
      <c r="I57" s="35">
        <f t="shared" si="128"/>
        <v>0</v>
      </c>
      <c r="J57" s="36">
        <f t="shared" si="129"/>
        <v>1478204</v>
      </c>
      <c r="K57" s="36">
        <f t="shared" si="130"/>
        <v>1678204</v>
      </c>
      <c r="L57" s="36">
        <f t="shared" si="131"/>
        <v>1860004</v>
      </c>
      <c r="M57" s="36">
        <f t="shared" si="132"/>
        <v>2210004</v>
      </c>
      <c r="N57" s="36">
        <f t="shared" si="133"/>
        <v>2210004</v>
      </c>
      <c r="O57" s="36">
        <f t="shared" si="134"/>
        <v>2250004</v>
      </c>
      <c r="P57" s="36">
        <f t="shared" si="135"/>
        <v>2418000</v>
      </c>
      <c r="Q57" s="36">
        <f>1965692</f>
        <v>1965692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12368065.33</f>
        <v>12368065.33</v>
      </c>
      <c r="F59" s="33">
        <f>12844686.27</f>
        <v>12844686.27</v>
      </c>
      <c r="G59" s="33">
        <f>13946795.57</f>
        <v>13946795.57</v>
      </c>
      <c r="H59" s="34">
        <f>13617801.27</f>
        <v>13617801.27</v>
      </c>
      <c r="I59" s="35">
        <f>15060052.22</f>
        <v>15060052.22</v>
      </c>
      <c r="J59" s="36">
        <f>15000000</f>
        <v>15000000</v>
      </c>
      <c r="K59" s="36">
        <f>15300000</f>
        <v>15300000</v>
      </c>
      <c r="L59" s="36">
        <f>15600000</f>
        <v>15600000</v>
      </c>
      <c r="M59" s="36">
        <f aca="true" t="shared" si="136" ref="M59:M66">0</f>
        <v>0</v>
      </c>
      <c r="N59" s="36">
        <f aca="true" t="shared" si="137" ref="N59:N66">0</f>
        <v>0</v>
      </c>
      <c r="O59" s="36">
        <f aca="true" t="shared" si="138" ref="O59:O66">0</f>
        <v>0</v>
      </c>
      <c r="P59" s="36">
        <f aca="true" t="shared" si="139" ref="P59:P66">0</f>
        <v>0</v>
      </c>
      <c r="Q59" s="36">
        <f aca="true" t="shared" si="140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2986207.91</f>
        <v>2986207.91</v>
      </c>
      <c r="F60" s="33">
        <f>3073324.39</f>
        <v>3073324.39</v>
      </c>
      <c r="G60" s="33">
        <f>3391850</f>
        <v>3391850</v>
      </c>
      <c r="H60" s="34">
        <f>3294936.64</f>
        <v>3294936.64</v>
      </c>
      <c r="I60" s="35">
        <f>3721811</f>
        <v>3721811</v>
      </c>
      <c r="J60" s="36">
        <f>3450000</f>
        <v>3450000</v>
      </c>
      <c r="K60" s="36">
        <f>3500000</f>
        <v>3500000</v>
      </c>
      <c r="L60" s="36">
        <f>3550000</f>
        <v>3550000</v>
      </c>
      <c r="M60" s="36">
        <f t="shared" si="136"/>
        <v>0</v>
      </c>
      <c r="N60" s="36">
        <f t="shared" si="137"/>
        <v>0</v>
      </c>
      <c r="O60" s="36">
        <f t="shared" si="138"/>
        <v>0</v>
      </c>
      <c r="P60" s="36">
        <f t="shared" si="139"/>
        <v>0</v>
      </c>
      <c r="Q60" s="36">
        <f t="shared" si="140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2706336.15</f>
        <v>2706336.15</v>
      </c>
      <c r="F61" s="33">
        <f>1320685.63</f>
        <v>1320685.63</v>
      </c>
      <c r="G61" s="33">
        <f>1521985.68</f>
        <v>1521985.68</v>
      </c>
      <c r="H61" s="34">
        <f>1134356.98</f>
        <v>1134356.98</v>
      </c>
      <c r="I61" s="35">
        <f>383250</f>
        <v>383250</v>
      </c>
      <c r="J61" s="36">
        <f>2777617.88</f>
        <v>2777617.88</v>
      </c>
      <c r="K61" s="36">
        <f>1602450</f>
        <v>1602450</v>
      </c>
      <c r="L61" s="36">
        <f>1469100</f>
        <v>1469100</v>
      </c>
      <c r="M61" s="36">
        <f t="shared" si="136"/>
        <v>0</v>
      </c>
      <c r="N61" s="36">
        <f t="shared" si="137"/>
        <v>0</v>
      </c>
      <c r="O61" s="36">
        <f t="shared" si="138"/>
        <v>0</v>
      </c>
      <c r="P61" s="36">
        <f t="shared" si="139"/>
        <v>0</v>
      </c>
      <c r="Q61" s="36">
        <f t="shared" si="140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885100.65</f>
        <v>885100.65</v>
      </c>
      <c r="F62" s="33">
        <f>1182848.52</f>
        <v>1182848.52</v>
      </c>
      <c r="G62" s="33">
        <f>1421985.68</f>
        <v>1421985.68</v>
      </c>
      <c r="H62" s="34">
        <f>1088556.98</f>
        <v>1088556.98</v>
      </c>
      <c r="I62" s="35">
        <f>13250</f>
        <v>13250</v>
      </c>
      <c r="J62" s="36">
        <f>20200</f>
        <v>20200</v>
      </c>
      <c r="K62" s="36">
        <f>2450</f>
        <v>2450</v>
      </c>
      <c r="L62" s="36">
        <f>3100</f>
        <v>3100</v>
      </c>
      <c r="M62" s="36">
        <f t="shared" si="136"/>
        <v>0</v>
      </c>
      <c r="N62" s="36">
        <f t="shared" si="137"/>
        <v>0</v>
      </c>
      <c r="O62" s="36">
        <f t="shared" si="138"/>
        <v>0</v>
      </c>
      <c r="P62" s="36">
        <f t="shared" si="139"/>
        <v>0</v>
      </c>
      <c r="Q62" s="36">
        <f t="shared" si="140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1821235.5</f>
        <v>1821235.5</v>
      </c>
      <c r="F63" s="33">
        <f>137837.11</f>
        <v>137837.11</v>
      </c>
      <c r="G63" s="33">
        <f>100000</f>
        <v>100000</v>
      </c>
      <c r="H63" s="34">
        <f>45800</f>
        <v>45800</v>
      </c>
      <c r="I63" s="35">
        <f>370000</f>
        <v>370000</v>
      </c>
      <c r="J63" s="36">
        <f>2757417.88</f>
        <v>2757417.88</v>
      </c>
      <c r="K63" s="36">
        <f>1600000</f>
        <v>1600000</v>
      </c>
      <c r="L63" s="36">
        <f>1466000</f>
        <v>1466000</v>
      </c>
      <c r="M63" s="36">
        <f t="shared" si="136"/>
        <v>0</v>
      </c>
      <c r="N63" s="36">
        <f t="shared" si="137"/>
        <v>0</v>
      </c>
      <c r="O63" s="36">
        <f t="shared" si="138"/>
        <v>0</v>
      </c>
      <c r="P63" s="36">
        <f t="shared" si="139"/>
        <v>0</v>
      </c>
      <c r="Q63" s="36">
        <f t="shared" si="140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4829267.54</f>
        <v>4829267.54</v>
      </c>
      <c r="F64" s="33">
        <f>2958206</f>
        <v>2958206</v>
      </c>
      <c r="G64" s="33">
        <f>6615873</f>
        <v>6615873</v>
      </c>
      <c r="H64" s="34">
        <f>6393745.12</f>
        <v>6393745.12</v>
      </c>
      <c r="I64" s="35">
        <f>1263017.73</f>
        <v>1263017.73</v>
      </c>
      <c r="J64" s="36">
        <f aca="true" t="shared" si="141" ref="J64:J66">0</f>
        <v>0</v>
      </c>
      <c r="K64" s="36">
        <f aca="true" t="shared" si="142" ref="K64:K66">0</f>
        <v>0</v>
      </c>
      <c r="L64" s="36">
        <f aca="true" t="shared" si="143" ref="L64:L66">0</f>
        <v>0</v>
      </c>
      <c r="M64" s="36">
        <f t="shared" si="136"/>
        <v>0</v>
      </c>
      <c r="N64" s="36">
        <f t="shared" si="137"/>
        <v>0</v>
      </c>
      <c r="O64" s="36">
        <f t="shared" si="138"/>
        <v>0</v>
      </c>
      <c r="P64" s="36">
        <f t="shared" si="139"/>
        <v>0</v>
      </c>
      <c r="Q64" s="36">
        <f t="shared" si="140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1680528.06</f>
        <v>1680528.06</v>
      </c>
      <c r="F65" s="33">
        <f>2364458.2</f>
        <v>2364458.2</v>
      </c>
      <c r="G65" s="33">
        <f>2967100</f>
        <v>2967100</v>
      </c>
      <c r="H65" s="34">
        <f>769350.15</f>
        <v>769350.15</v>
      </c>
      <c r="I65" s="35">
        <f>2322402</f>
        <v>2322402</v>
      </c>
      <c r="J65" s="36">
        <f t="shared" si="141"/>
        <v>0</v>
      </c>
      <c r="K65" s="36">
        <f t="shared" si="142"/>
        <v>0</v>
      </c>
      <c r="L65" s="36">
        <f t="shared" si="143"/>
        <v>0</v>
      </c>
      <c r="M65" s="36">
        <f t="shared" si="136"/>
        <v>0</v>
      </c>
      <c r="N65" s="36">
        <f t="shared" si="137"/>
        <v>0</v>
      </c>
      <c r="O65" s="36">
        <f t="shared" si="138"/>
        <v>0</v>
      </c>
      <c r="P65" s="36">
        <f t="shared" si="139"/>
        <v>0</v>
      </c>
      <c r="Q65" s="36">
        <f t="shared" si="140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319894</f>
        <v>319894</v>
      </c>
      <c r="F66" s="33">
        <f>458831</f>
        <v>458831</v>
      </c>
      <c r="G66" s="33">
        <f>636400</f>
        <v>636400</v>
      </c>
      <c r="H66" s="34">
        <f>636400</f>
        <v>636400</v>
      </c>
      <c r="I66" s="35">
        <f>70000</f>
        <v>70000</v>
      </c>
      <c r="J66" s="36">
        <f t="shared" si="141"/>
        <v>0</v>
      </c>
      <c r="K66" s="36">
        <f t="shared" si="142"/>
        <v>0</v>
      </c>
      <c r="L66" s="36">
        <f t="shared" si="143"/>
        <v>0</v>
      </c>
      <c r="M66" s="36">
        <f t="shared" si="136"/>
        <v>0</v>
      </c>
      <c r="N66" s="36">
        <f t="shared" si="137"/>
        <v>0</v>
      </c>
      <c r="O66" s="36">
        <f t="shared" si="138"/>
        <v>0</v>
      </c>
      <c r="P66" s="36">
        <f t="shared" si="139"/>
        <v>0</v>
      </c>
      <c r="Q66" s="36">
        <f t="shared" si="140"/>
        <v>0</v>
      </c>
    </row>
    <row r="67" spans="2:18" ht="25.5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5.5" outlineLevel="2">
      <c r="B68" s="29" t="s">
        <v>173</v>
      </c>
      <c r="C68" s="37" t="s">
        <v>174</v>
      </c>
      <c r="D68" s="31" t="s">
        <v>175</v>
      </c>
      <c r="E68" s="32">
        <f>1650681.03</f>
        <v>1650681.03</v>
      </c>
      <c r="F68" s="33">
        <f>2512141.17</f>
        <v>2512141.17</v>
      </c>
      <c r="G68" s="33">
        <f>1035267.09</f>
        <v>1035267.09</v>
      </c>
      <c r="H68" s="34">
        <f>442102.38</f>
        <v>442102.38</v>
      </c>
      <c r="I68" s="35">
        <f>498545.75</f>
        <v>498545.75</v>
      </c>
      <c r="J68" s="36">
        <f aca="true" t="shared" si="144" ref="J68:J87">0</f>
        <v>0</v>
      </c>
      <c r="K68" s="36">
        <f aca="true" t="shared" si="145" ref="K68:K87">0</f>
        <v>0</v>
      </c>
      <c r="L68" s="36">
        <f aca="true" t="shared" si="146" ref="L68:L87">0</f>
        <v>0</v>
      </c>
      <c r="M68" s="36">
        <f aca="true" t="shared" si="147" ref="M68:M87">0</f>
        <v>0</v>
      </c>
      <c r="N68" s="36">
        <f aca="true" t="shared" si="148" ref="N68:N87">0</f>
        <v>0</v>
      </c>
      <c r="O68" s="36">
        <f aca="true" t="shared" si="149" ref="O68:O87">0</f>
        <v>0</v>
      </c>
      <c r="P68" s="36">
        <f aca="true" t="shared" si="150" ref="P68:P87">0</f>
        <v>0</v>
      </c>
      <c r="Q68" s="36">
        <f aca="true" t="shared" si="151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2" ref="E69:E70">1484838.58</f>
        <v>1484838.58</v>
      </c>
      <c r="F69" s="33">
        <f aca="true" t="shared" si="153" ref="F69:F70">2271968.91</f>
        <v>2271968.91</v>
      </c>
      <c r="G69" s="33">
        <f aca="true" t="shared" si="154" ref="G69:G70">911911.76</f>
        <v>911911.76</v>
      </c>
      <c r="H69" s="34">
        <f aca="true" t="shared" si="155" ref="H69:H70">400393.51</f>
        <v>400393.51</v>
      </c>
      <c r="I69" s="35">
        <f aca="true" t="shared" si="156" ref="I69:I70">434833.41</f>
        <v>434833.41</v>
      </c>
      <c r="J69" s="36">
        <f t="shared" si="144"/>
        <v>0</v>
      </c>
      <c r="K69" s="36">
        <f t="shared" si="145"/>
        <v>0</v>
      </c>
      <c r="L69" s="36">
        <f t="shared" si="146"/>
        <v>0</v>
      </c>
      <c r="M69" s="36">
        <f t="shared" si="147"/>
        <v>0</v>
      </c>
      <c r="N69" s="36">
        <f t="shared" si="148"/>
        <v>0</v>
      </c>
      <c r="O69" s="36">
        <f t="shared" si="149"/>
        <v>0</v>
      </c>
      <c r="P69" s="36">
        <f t="shared" si="150"/>
        <v>0</v>
      </c>
      <c r="Q69" s="36">
        <f t="shared" si="151"/>
        <v>0</v>
      </c>
    </row>
    <row r="70" spans="2:17" ht="25.5" outlineLevel="4">
      <c r="B70" s="29" t="s">
        <v>179</v>
      </c>
      <c r="C70" s="37" t="s">
        <v>180</v>
      </c>
      <c r="D70" s="39" t="s">
        <v>181</v>
      </c>
      <c r="E70" s="32">
        <f t="shared" si="152"/>
        <v>1484838.58</v>
      </c>
      <c r="F70" s="33">
        <f t="shared" si="153"/>
        <v>2271968.91</v>
      </c>
      <c r="G70" s="33">
        <f t="shared" si="154"/>
        <v>911911.76</v>
      </c>
      <c r="H70" s="34">
        <f t="shared" si="155"/>
        <v>400393.51</v>
      </c>
      <c r="I70" s="35">
        <f t="shared" si="156"/>
        <v>434833.41</v>
      </c>
      <c r="J70" s="36">
        <f t="shared" si="144"/>
        <v>0</v>
      </c>
      <c r="K70" s="36">
        <f t="shared" si="145"/>
        <v>0</v>
      </c>
      <c r="L70" s="36">
        <f t="shared" si="146"/>
        <v>0</v>
      </c>
      <c r="M70" s="36">
        <f t="shared" si="147"/>
        <v>0</v>
      </c>
      <c r="N70" s="36">
        <f t="shared" si="148"/>
        <v>0</v>
      </c>
      <c r="O70" s="36">
        <f t="shared" si="149"/>
        <v>0</v>
      </c>
      <c r="P70" s="36">
        <f t="shared" si="150"/>
        <v>0</v>
      </c>
      <c r="Q70" s="36">
        <f t="shared" si="151"/>
        <v>0</v>
      </c>
    </row>
    <row r="71" spans="2:17" ht="25.5" outlineLevel="2">
      <c r="B71" s="29" t="s">
        <v>182</v>
      </c>
      <c r="C71" s="37" t="s">
        <v>183</v>
      </c>
      <c r="D71" s="31" t="s">
        <v>184</v>
      </c>
      <c r="E71" s="32">
        <f>2951853.09</f>
        <v>2951853.09</v>
      </c>
      <c r="F71" s="33">
        <f>2340381.75</f>
        <v>2340381.75</v>
      </c>
      <c r="G71" s="33">
        <f aca="true" t="shared" si="157" ref="G71:G73">83947.5</f>
        <v>83947.5</v>
      </c>
      <c r="H71" s="34">
        <f aca="true" t="shared" si="158" ref="H71:H73">83947.5</f>
        <v>83947.5</v>
      </c>
      <c r="I71" s="35">
        <f aca="true" t="shared" si="159" ref="I71:I73">691664.53</f>
        <v>691664.53</v>
      </c>
      <c r="J71" s="36">
        <f t="shared" si="144"/>
        <v>0</v>
      </c>
      <c r="K71" s="36">
        <f t="shared" si="145"/>
        <v>0</v>
      </c>
      <c r="L71" s="36">
        <f t="shared" si="146"/>
        <v>0</v>
      </c>
      <c r="M71" s="36">
        <f t="shared" si="147"/>
        <v>0</v>
      </c>
      <c r="N71" s="36">
        <f t="shared" si="148"/>
        <v>0</v>
      </c>
      <c r="O71" s="36">
        <f t="shared" si="149"/>
        <v>0</v>
      </c>
      <c r="P71" s="36">
        <f t="shared" si="150"/>
        <v>0</v>
      </c>
      <c r="Q71" s="36">
        <f t="shared" si="151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aca="true" t="shared" si="160" ref="E72:E73">2897484.54</f>
        <v>2897484.54</v>
      </c>
      <c r="F72" s="33">
        <f aca="true" t="shared" si="161" ref="F72:F73">2339496.15</f>
        <v>2339496.15</v>
      </c>
      <c r="G72" s="33">
        <f t="shared" si="157"/>
        <v>83947.5</v>
      </c>
      <c r="H72" s="34">
        <f t="shared" si="158"/>
        <v>83947.5</v>
      </c>
      <c r="I72" s="35">
        <f t="shared" si="159"/>
        <v>691664.53</v>
      </c>
      <c r="J72" s="36">
        <f t="shared" si="144"/>
        <v>0</v>
      </c>
      <c r="K72" s="36">
        <f t="shared" si="145"/>
        <v>0</v>
      </c>
      <c r="L72" s="36">
        <f t="shared" si="146"/>
        <v>0</v>
      </c>
      <c r="M72" s="36">
        <f t="shared" si="147"/>
        <v>0</v>
      </c>
      <c r="N72" s="36">
        <f t="shared" si="148"/>
        <v>0</v>
      </c>
      <c r="O72" s="36">
        <f t="shared" si="149"/>
        <v>0</v>
      </c>
      <c r="P72" s="36">
        <f t="shared" si="150"/>
        <v>0</v>
      </c>
      <c r="Q72" s="36">
        <f t="shared" si="151"/>
        <v>0</v>
      </c>
    </row>
    <row r="73" spans="2:17" ht="25.5" outlineLevel="4">
      <c r="B73" s="29" t="s">
        <v>187</v>
      </c>
      <c r="C73" s="37" t="s">
        <v>188</v>
      </c>
      <c r="D73" s="39" t="s">
        <v>189</v>
      </c>
      <c r="E73" s="32">
        <f t="shared" si="160"/>
        <v>2897484.54</v>
      </c>
      <c r="F73" s="33">
        <f t="shared" si="161"/>
        <v>2339496.15</v>
      </c>
      <c r="G73" s="33">
        <f t="shared" si="157"/>
        <v>83947.5</v>
      </c>
      <c r="H73" s="34">
        <f t="shared" si="158"/>
        <v>83947.5</v>
      </c>
      <c r="I73" s="35">
        <f t="shared" si="159"/>
        <v>691664.53</v>
      </c>
      <c r="J73" s="36">
        <f t="shared" si="144"/>
        <v>0</v>
      </c>
      <c r="K73" s="36">
        <f t="shared" si="145"/>
        <v>0</v>
      </c>
      <c r="L73" s="36">
        <f t="shared" si="146"/>
        <v>0</v>
      </c>
      <c r="M73" s="36">
        <f t="shared" si="147"/>
        <v>0</v>
      </c>
      <c r="N73" s="36">
        <f t="shared" si="148"/>
        <v>0</v>
      </c>
      <c r="O73" s="36">
        <f t="shared" si="149"/>
        <v>0</v>
      </c>
      <c r="P73" s="36">
        <f t="shared" si="150"/>
        <v>0</v>
      </c>
      <c r="Q73" s="36">
        <f t="shared" si="151"/>
        <v>0</v>
      </c>
    </row>
    <row r="74" spans="2:17" ht="25.5" outlineLevel="2">
      <c r="B74" s="29" t="s">
        <v>190</v>
      </c>
      <c r="C74" s="37" t="s">
        <v>191</v>
      </c>
      <c r="D74" s="31" t="s">
        <v>192</v>
      </c>
      <c r="E74" s="32">
        <f>1714900.4</f>
        <v>1714900.4</v>
      </c>
      <c r="F74" s="33">
        <f>2804189.96</f>
        <v>2804189.96</v>
      </c>
      <c r="G74" s="33">
        <f>988921.26</f>
        <v>988921.26</v>
      </c>
      <c r="H74" s="34">
        <f>841425.08</f>
        <v>841425.08</v>
      </c>
      <c r="I74" s="35">
        <f>13250</f>
        <v>13250</v>
      </c>
      <c r="J74" s="36">
        <f t="shared" si="144"/>
        <v>0</v>
      </c>
      <c r="K74" s="36">
        <f t="shared" si="145"/>
        <v>0</v>
      </c>
      <c r="L74" s="36">
        <f t="shared" si="146"/>
        <v>0</v>
      </c>
      <c r="M74" s="36">
        <f t="shared" si="147"/>
        <v>0</v>
      </c>
      <c r="N74" s="36">
        <f t="shared" si="148"/>
        <v>0</v>
      </c>
      <c r="O74" s="36">
        <f t="shared" si="149"/>
        <v>0</v>
      </c>
      <c r="P74" s="36">
        <f t="shared" si="150"/>
        <v>0</v>
      </c>
      <c r="Q74" s="36">
        <f t="shared" si="151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1466388.17</f>
        <v>1466388.17</v>
      </c>
      <c r="F75" s="33">
        <f>2374365.08</f>
        <v>2374365.08</v>
      </c>
      <c r="G75" s="33">
        <f>834890.96</f>
        <v>834890.96</v>
      </c>
      <c r="H75" s="34">
        <f>677483.94</f>
        <v>677483.94</v>
      </c>
      <c r="I75" s="35">
        <f>8771.01</f>
        <v>8771.01</v>
      </c>
      <c r="J75" s="36">
        <f t="shared" si="144"/>
        <v>0</v>
      </c>
      <c r="K75" s="36">
        <f t="shared" si="145"/>
        <v>0</v>
      </c>
      <c r="L75" s="36">
        <f t="shared" si="146"/>
        <v>0</v>
      </c>
      <c r="M75" s="36">
        <f t="shared" si="147"/>
        <v>0</v>
      </c>
      <c r="N75" s="36">
        <f t="shared" si="148"/>
        <v>0</v>
      </c>
      <c r="O75" s="36">
        <f t="shared" si="149"/>
        <v>0</v>
      </c>
      <c r="P75" s="36">
        <f t="shared" si="150"/>
        <v>0</v>
      </c>
      <c r="Q75" s="36">
        <f t="shared" si="151"/>
        <v>0</v>
      </c>
    </row>
    <row r="76" spans="2:17" ht="25.5" outlineLevel="3">
      <c r="B76" s="29" t="s">
        <v>196</v>
      </c>
      <c r="C76" s="37" t="s">
        <v>197</v>
      </c>
      <c r="D76" s="38" t="s">
        <v>198</v>
      </c>
      <c r="E76" s="32">
        <f>1714900.4</f>
        <v>1714900.4</v>
      </c>
      <c r="F76" s="33">
        <f>2804189.96</f>
        <v>2804189.96</v>
      </c>
      <c r="G76" s="33">
        <f>988921.26</f>
        <v>988921.26</v>
      </c>
      <c r="H76" s="34">
        <f>841425.08</f>
        <v>841425.08</v>
      </c>
      <c r="I76" s="35">
        <f>13250</f>
        <v>13250</v>
      </c>
      <c r="J76" s="36">
        <f t="shared" si="144"/>
        <v>0</v>
      </c>
      <c r="K76" s="36">
        <f t="shared" si="145"/>
        <v>0</v>
      </c>
      <c r="L76" s="36">
        <f t="shared" si="146"/>
        <v>0</v>
      </c>
      <c r="M76" s="36">
        <f t="shared" si="147"/>
        <v>0</v>
      </c>
      <c r="N76" s="36">
        <f t="shared" si="148"/>
        <v>0</v>
      </c>
      <c r="O76" s="36">
        <f t="shared" si="149"/>
        <v>0</v>
      </c>
      <c r="P76" s="36">
        <f t="shared" si="150"/>
        <v>0</v>
      </c>
      <c r="Q76" s="36">
        <f t="shared" si="151"/>
        <v>0</v>
      </c>
    </row>
    <row r="77" spans="2:17" ht="25.5" outlineLevel="2">
      <c r="B77" s="29" t="s">
        <v>199</v>
      </c>
      <c r="C77" s="37" t="s">
        <v>200</v>
      </c>
      <c r="D77" s="31" t="s">
        <v>201</v>
      </c>
      <c r="E77" s="32">
        <f>579470.19</f>
        <v>579470.19</v>
      </c>
      <c r="F77" s="33">
        <f>191094</f>
        <v>191094</v>
      </c>
      <c r="G77" s="33">
        <f aca="true" t="shared" si="162" ref="G77:G79">27150</f>
        <v>27150</v>
      </c>
      <c r="H77" s="34">
        <f aca="true" t="shared" si="163" ref="H77:H79">27120</f>
        <v>27120</v>
      </c>
      <c r="I77" s="35">
        <f aca="true" t="shared" si="164" ref="I77:I79">0</f>
        <v>0</v>
      </c>
      <c r="J77" s="36">
        <f t="shared" si="144"/>
        <v>0</v>
      </c>
      <c r="K77" s="36">
        <f t="shared" si="145"/>
        <v>0</v>
      </c>
      <c r="L77" s="36">
        <f t="shared" si="146"/>
        <v>0</v>
      </c>
      <c r="M77" s="36">
        <f t="shared" si="147"/>
        <v>0</v>
      </c>
      <c r="N77" s="36">
        <f t="shared" si="148"/>
        <v>0</v>
      </c>
      <c r="O77" s="36">
        <f t="shared" si="149"/>
        <v>0</v>
      </c>
      <c r="P77" s="36">
        <f t="shared" si="150"/>
        <v>0</v>
      </c>
      <c r="Q77" s="36">
        <f t="shared" si="151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>428821.64</f>
        <v>428821.64</v>
      </c>
      <c r="F78" s="33">
        <f>134139.9</f>
        <v>134139.9</v>
      </c>
      <c r="G78" s="33">
        <f t="shared" si="162"/>
        <v>27150</v>
      </c>
      <c r="H78" s="34">
        <f t="shared" si="163"/>
        <v>27120</v>
      </c>
      <c r="I78" s="35">
        <f t="shared" si="164"/>
        <v>0</v>
      </c>
      <c r="J78" s="36">
        <f t="shared" si="144"/>
        <v>0</v>
      </c>
      <c r="K78" s="36">
        <f t="shared" si="145"/>
        <v>0</v>
      </c>
      <c r="L78" s="36">
        <f t="shared" si="146"/>
        <v>0</v>
      </c>
      <c r="M78" s="36">
        <f t="shared" si="147"/>
        <v>0</v>
      </c>
      <c r="N78" s="36">
        <f t="shared" si="148"/>
        <v>0</v>
      </c>
      <c r="O78" s="36">
        <f t="shared" si="149"/>
        <v>0</v>
      </c>
      <c r="P78" s="36">
        <f t="shared" si="150"/>
        <v>0</v>
      </c>
      <c r="Q78" s="36">
        <f t="shared" si="151"/>
        <v>0</v>
      </c>
    </row>
    <row r="79" spans="2:17" ht="28.5" customHeight="1" outlineLevel="3">
      <c r="B79" s="29" t="s">
        <v>205</v>
      </c>
      <c r="C79" s="37" t="s">
        <v>206</v>
      </c>
      <c r="D79" s="38" t="s">
        <v>207</v>
      </c>
      <c r="E79" s="32">
        <f>579470.19</f>
        <v>579470.19</v>
      </c>
      <c r="F79" s="33">
        <f>191094</f>
        <v>191094</v>
      </c>
      <c r="G79" s="33">
        <f t="shared" si="162"/>
        <v>27150</v>
      </c>
      <c r="H79" s="34">
        <f t="shared" si="163"/>
        <v>27120</v>
      </c>
      <c r="I79" s="35">
        <f t="shared" si="164"/>
        <v>0</v>
      </c>
      <c r="J79" s="36">
        <f t="shared" si="144"/>
        <v>0</v>
      </c>
      <c r="K79" s="36">
        <f t="shared" si="145"/>
        <v>0</v>
      </c>
      <c r="L79" s="36">
        <f t="shared" si="146"/>
        <v>0</v>
      </c>
      <c r="M79" s="36">
        <f t="shared" si="147"/>
        <v>0</v>
      </c>
      <c r="N79" s="36">
        <f t="shared" si="148"/>
        <v>0</v>
      </c>
      <c r="O79" s="36">
        <f t="shared" si="149"/>
        <v>0</v>
      </c>
      <c r="P79" s="36">
        <f t="shared" si="150"/>
        <v>0</v>
      </c>
      <c r="Q79" s="36">
        <f t="shared" si="151"/>
        <v>0</v>
      </c>
    </row>
    <row r="80" spans="2:17" ht="28.5" customHeight="1" outlineLevel="2">
      <c r="B80" s="29" t="s">
        <v>208</v>
      </c>
      <c r="C80" s="37" t="s">
        <v>209</v>
      </c>
      <c r="D80" s="31" t="s">
        <v>210</v>
      </c>
      <c r="E80" s="32">
        <f aca="true" t="shared" si="165" ref="E80:E87">0</f>
        <v>0</v>
      </c>
      <c r="F80" s="33">
        <f aca="true" t="shared" si="166" ref="F80:F87">0</f>
        <v>0</v>
      </c>
      <c r="G80" s="33">
        <f aca="true" t="shared" si="167" ref="G80:G87">0</f>
        <v>0</v>
      </c>
      <c r="H80" s="34">
        <f aca="true" t="shared" si="168" ref="H80:H87">0</f>
        <v>0</v>
      </c>
      <c r="I80" s="35">
        <f>4478.99</f>
        <v>4478.99</v>
      </c>
      <c r="J80" s="36">
        <f t="shared" si="144"/>
        <v>0</v>
      </c>
      <c r="K80" s="36">
        <f t="shared" si="145"/>
        <v>0</v>
      </c>
      <c r="L80" s="36">
        <f t="shared" si="146"/>
        <v>0</v>
      </c>
      <c r="M80" s="36">
        <f t="shared" si="147"/>
        <v>0</v>
      </c>
      <c r="N80" s="36">
        <f t="shared" si="148"/>
        <v>0</v>
      </c>
      <c r="O80" s="36">
        <f t="shared" si="149"/>
        <v>0</v>
      </c>
      <c r="P80" s="36">
        <f t="shared" si="150"/>
        <v>0</v>
      </c>
      <c r="Q80" s="36">
        <f t="shared" si="151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5"/>
        <v>0</v>
      </c>
      <c r="F81" s="33">
        <f t="shared" si="166"/>
        <v>0</v>
      </c>
      <c r="G81" s="33">
        <f t="shared" si="167"/>
        <v>0</v>
      </c>
      <c r="H81" s="34">
        <f t="shared" si="168"/>
        <v>0</v>
      </c>
      <c r="I81" s="35">
        <f aca="true" t="shared" si="169" ref="I81:I87">0</f>
        <v>0</v>
      </c>
      <c r="J81" s="36">
        <f t="shared" si="144"/>
        <v>0</v>
      </c>
      <c r="K81" s="36">
        <f t="shared" si="145"/>
        <v>0</v>
      </c>
      <c r="L81" s="36">
        <f t="shared" si="146"/>
        <v>0</v>
      </c>
      <c r="M81" s="36">
        <f t="shared" si="147"/>
        <v>0</v>
      </c>
      <c r="N81" s="36">
        <f t="shared" si="148"/>
        <v>0</v>
      </c>
      <c r="O81" s="36">
        <f t="shared" si="149"/>
        <v>0</v>
      </c>
      <c r="P81" s="36">
        <f t="shared" si="150"/>
        <v>0</v>
      </c>
      <c r="Q81" s="36">
        <f t="shared" si="151"/>
        <v>0</v>
      </c>
    </row>
    <row r="82" spans="2:17" ht="27" customHeight="1" outlineLevel="2">
      <c r="B82" s="29" t="s">
        <v>214</v>
      </c>
      <c r="C82" s="37" t="s">
        <v>215</v>
      </c>
      <c r="D82" s="31" t="s">
        <v>216</v>
      </c>
      <c r="E82" s="32">
        <f t="shared" si="165"/>
        <v>0</v>
      </c>
      <c r="F82" s="33">
        <f t="shared" si="166"/>
        <v>0</v>
      </c>
      <c r="G82" s="33">
        <f t="shared" si="167"/>
        <v>0</v>
      </c>
      <c r="H82" s="34">
        <f t="shared" si="168"/>
        <v>0</v>
      </c>
      <c r="I82" s="35">
        <f t="shared" si="169"/>
        <v>0</v>
      </c>
      <c r="J82" s="36">
        <f t="shared" si="144"/>
        <v>0</v>
      </c>
      <c r="K82" s="36">
        <f t="shared" si="145"/>
        <v>0</v>
      </c>
      <c r="L82" s="36">
        <f t="shared" si="146"/>
        <v>0</v>
      </c>
      <c r="M82" s="36">
        <f t="shared" si="147"/>
        <v>0</v>
      </c>
      <c r="N82" s="36">
        <f t="shared" si="148"/>
        <v>0</v>
      </c>
      <c r="O82" s="36">
        <f t="shared" si="149"/>
        <v>0</v>
      </c>
      <c r="P82" s="36">
        <f t="shared" si="150"/>
        <v>0</v>
      </c>
      <c r="Q82" s="36">
        <f t="shared" si="151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5"/>
        <v>0</v>
      </c>
      <c r="F83" s="33">
        <f t="shared" si="166"/>
        <v>0</v>
      </c>
      <c r="G83" s="33">
        <f t="shared" si="167"/>
        <v>0</v>
      </c>
      <c r="H83" s="34">
        <f t="shared" si="168"/>
        <v>0</v>
      </c>
      <c r="I83" s="35">
        <f t="shared" si="169"/>
        <v>0</v>
      </c>
      <c r="J83" s="36">
        <f t="shared" si="144"/>
        <v>0</v>
      </c>
      <c r="K83" s="36">
        <f t="shared" si="145"/>
        <v>0</v>
      </c>
      <c r="L83" s="36">
        <f t="shared" si="146"/>
        <v>0</v>
      </c>
      <c r="M83" s="36">
        <f t="shared" si="147"/>
        <v>0</v>
      </c>
      <c r="N83" s="36">
        <f t="shared" si="148"/>
        <v>0</v>
      </c>
      <c r="O83" s="36">
        <f t="shared" si="149"/>
        <v>0</v>
      </c>
      <c r="P83" s="36">
        <f t="shared" si="150"/>
        <v>0</v>
      </c>
      <c r="Q83" s="36">
        <f t="shared" si="151"/>
        <v>0</v>
      </c>
    </row>
    <row r="84" spans="2:17" ht="38.25" outlineLevel="2">
      <c r="B84" s="29" t="s">
        <v>218</v>
      </c>
      <c r="C84" s="37" t="s">
        <v>219</v>
      </c>
      <c r="D84" s="31" t="s">
        <v>220</v>
      </c>
      <c r="E84" s="32">
        <f t="shared" si="165"/>
        <v>0</v>
      </c>
      <c r="F84" s="33">
        <f t="shared" si="166"/>
        <v>0</v>
      </c>
      <c r="G84" s="33">
        <f t="shared" si="167"/>
        <v>0</v>
      </c>
      <c r="H84" s="34">
        <f t="shared" si="168"/>
        <v>0</v>
      </c>
      <c r="I84" s="35">
        <f t="shared" si="169"/>
        <v>0</v>
      </c>
      <c r="J84" s="36">
        <f t="shared" si="144"/>
        <v>0</v>
      </c>
      <c r="K84" s="36">
        <f t="shared" si="145"/>
        <v>0</v>
      </c>
      <c r="L84" s="36">
        <f t="shared" si="146"/>
        <v>0</v>
      </c>
      <c r="M84" s="36">
        <f t="shared" si="147"/>
        <v>0</v>
      </c>
      <c r="N84" s="36">
        <f t="shared" si="148"/>
        <v>0</v>
      </c>
      <c r="O84" s="36">
        <f t="shared" si="149"/>
        <v>0</v>
      </c>
      <c r="P84" s="36">
        <f t="shared" si="150"/>
        <v>0</v>
      </c>
      <c r="Q84" s="36">
        <f t="shared" si="151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5"/>
        <v>0</v>
      </c>
      <c r="F85" s="33">
        <f t="shared" si="166"/>
        <v>0</v>
      </c>
      <c r="G85" s="33">
        <f t="shared" si="167"/>
        <v>0</v>
      </c>
      <c r="H85" s="34">
        <f t="shared" si="168"/>
        <v>0</v>
      </c>
      <c r="I85" s="35">
        <f t="shared" si="169"/>
        <v>0</v>
      </c>
      <c r="J85" s="36">
        <f t="shared" si="144"/>
        <v>0</v>
      </c>
      <c r="K85" s="36">
        <f t="shared" si="145"/>
        <v>0</v>
      </c>
      <c r="L85" s="36">
        <f t="shared" si="146"/>
        <v>0</v>
      </c>
      <c r="M85" s="36">
        <f t="shared" si="147"/>
        <v>0</v>
      </c>
      <c r="N85" s="36">
        <f t="shared" si="148"/>
        <v>0</v>
      </c>
      <c r="O85" s="36">
        <f t="shared" si="149"/>
        <v>0</v>
      </c>
      <c r="P85" s="36">
        <f t="shared" si="150"/>
        <v>0</v>
      </c>
      <c r="Q85" s="36">
        <f t="shared" si="151"/>
        <v>0</v>
      </c>
    </row>
    <row r="86" spans="2:17" ht="38.25" outlineLevel="2">
      <c r="B86" s="29" t="s">
        <v>222</v>
      </c>
      <c r="C86" s="37" t="s">
        <v>223</v>
      </c>
      <c r="D86" s="31" t="s">
        <v>224</v>
      </c>
      <c r="E86" s="32">
        <f t="shared" si="165"/>
        <v>0</v>
      </c>
      <c r="F86" s="33">
        <f t="shared" si="166"/>
        <v>0</v>
      </c>
      <c r="G86" s="33">
        <f t="shared" si="167"/>
        <v>0</v>
      </c>
      <c r="H86" s="34">
        <f t="shared" si="168"/>
        <v>0</v>
      </c>
      <c r="I86" s="35">
        <f t="shared" si="169"/>
        <v>0</v>
      </c>
      <c r="J86" s="36">
        <f t="shared" si="144"/>
        <v>0</v>
      </c>
      <c r="K86" s="36">
        <f t="shared" si="145"/>
        <v>0</v>
      </c>
      <c r="L86" s="36">
        <f t="shared" si="146"/>
        <v>0</v>
      </c>
      <c r="M86" s="36">
        <f t="shared" si="147"/>
        <v>0</v>
      </c>
      <c r="N86" s="36">
        <f t="shared" si="148"/>
        <v>0</v>
      </c>
      <c r="O86" s="36">
        <f t="shared" si="149"/>
        <v>0</v>
      </c>
      <c r="P86" s="36">
        <f t="shared" si="150"/>
        <v>0</v>
      </c>
      <c r="Q86" s="36">
        <f t="shared" si="151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5"/>
        <v>0</v>
      </c>
      <c r="F87" s="33">
        <f t="shared" si="166"/>
        <v>0</v>
      </c>
      <c r="G87" s="33">
        <f t="shared" si="167"/>
        <v>0</v>
      </c>
      <c r="H87" s="34">
        <f t="shared" si="168"/>
        <v>0</v>
      </c>
      <c r="I87" s="35">
        <f t="shared" si="169"/>
        <v>0</v>
      </c>
      <c r="J87" s="36">
        <f t="shared" si="144"/>
        <v>0</v>
      </c>
      <c r="K87" s="36">
        <f t="shared" si="145"/>
        <v>0</v>
      </c>
      <c r="L87" s="36">
        <f t="shared" si="146"/>
        <v>0</v>
      </c>
      <c r="M87" s="36">
        <f t="shared" si="147"/>
        <v>0</v>
      </c>
      <c r="N87" s="36">
        <f t="shared" si="148"/>
        <v>0</v>
      </c>
      <c r="O87" s="36">
        <f t="shared" si="149"/>
        <v>0</v>
      </c>
      <c r="P87" s="36">
        <f t="shared" si="150"/>
        <v>0</v>
      </c>
      <c r="Q87" s="36">
        <f t="shared" si="151"/>
        <v>0</v>
      </c>
    </row>
    <row r="88" spans="2:18" ht="25.5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5.5" outlineLevel="2">
      <c r="B89" s="29" t="s">
        <v>227</v>
      </c>
      <c r="C89" s="37" t="s">
        <v>228</v>
      </c>
      <c r="D89" s="31" t="s">
        <v>229</v>
      </c>
      <c r="E89" s="32">
        <f aca="true" t="shared" si="170" ref="E89:E95">0</f>
        <v>0</v>
      </c>
      <c r="F89" s="33">
        <f aca="true" t="shared" si="171" ref="F89:F95">0</f>
        <v>0</v>
      </c>
      <c r="G89" s="33">
        <f aca="true" t="shared" si="172" ref="G89:G95">0</f>
        <v>0</v>
      </c>
      <c r="H89" s="34">
        <f aca="true" t="shared" si="173" ref="H89:H95">0</f>
        <v>0</v>
      </c>
      <c r="I89" s="35">
        <f aca="true" t="shared" si="174" ref="I89:I95">0</f>
        <v>0</v>
      </c>
      <c r="J89" s="36">
        <f aca="true" t="shared" si="175" ref="J89:J95">0</f>
        <v>0</v>
      </c>
      <c r="K89" s="36">
        <f aca="true" t="shared" si="176" ref="K89:K95">0</f>
        <v>0</v>
      </c>
      <c r="L89" s="36">
        <f aca="true" t="shared" si="177" ref="L89:L95">0</f>
        <v>0</v>
      </c>
      <c r="M89" s="36">
        <f aca="true" t="shared" si="178" ref="M89:M95">0</f>
        <v>0</v>
      </c>
      <c r="N89" s="36">
        <f aca="true" t="shared" si="179" ref="N89:N95">0</f>
        <v>0</v>
      </c>
      <c r="O89" s="36">
        <f aca="true" t="shared" si="180" ref="O89:O95">0</f>
        <v>0</v>
      </c>
      <c r="P89" s="36">
        <f aca="true" t="shared" si="181" ref="P89:P95">0</f>
        <v>0</v>
      </c>
      <c r="Q89" s="36">
        <f aca="true" t="shared" si="182" ref="Q89:Q95">0</f>
        <v>0</v>
      </c>
    </row>
    <row r="90" spans="2:17" ht="25.5" outlineLevel="2">
      <c r="B90" s="29" t="s">
        <v>230</v>
      </c>
      <c r="C90" s="37" t="s">
        <v>231</v>
      </c>
      <c r="D90" s="31" t="s">
        <v>232</v>
      </c>
      <c r="E90" s="32">
        <f t="shared" si="170"/>
        <v>0</v>
      </c>
      <c r="F90" s="33">
        <f t="shared" si="171"/>
        <v>0</v>
      </c>
      <c r="G90" s="33">
        <f t="shared" si="172"/>
        <v>0</v>
      </c>
      <c r="H90" s="34">
        <f t="shared" si="173"/>
        <v>0</v>
      </c>
      <c r="I90" s="35">
        <f t="shared" si="174"/>
        <v>0</v>
      </c>
      <c r="J90" s="36">
        <f t="shared" si="175"/>
        <v>0</v>
      </c>
      <c r="K90" s="36">
        <f t="shared" si="176"/>
        <v>0</v>
      </c>
      <c r="L90" s="36">
        <f t="shared" si="177"/>
        <v>0</v>
      </c>
      <c r="M90" s="36">
        <f t="shared" si="178"/>
        <v>0</v>
      </c>
      <c r="N90" s="36">
        <f t="shared" si="179"/>
        <v>0</v>
      </c>
      <c r="O90" s="36">
        <f t="shared" si="180"/>
        <v>0</v>
      </c>
      <c r="P90" s="36">
        <f t="shared" si="181"/>
        <v>0</v>
      </c>
      <c r="Q90" s="36">
        <f t="shared" si="182"/>
        <v>0</v>
      </c>
    </row>
    <row r="91" spans="2:17" ht="18" customHeight="1" outlineLevel="2">
      <c r="B91" s="29" t="s">
        <v>233</v>
      </c>
      <c r="C91" s="37" t="s">
        <v>234</v>
      </c>
      <c r="D91" s="31" t="s">
        <v>235</v>
      </c>
      <c r="E91" s="32">
        <f t="shared" si="170"/>
        <v>0</v>
      </c>
      <c r="F91" s="33">
        <f t="shared" si="171"/>
        <v>0</v>
      </c>
      <c r="G91" s="33">
        <f t="shared" si="172"/>
        <v>0</v>
      </c>
      <c r="H91" s="34">
        <f t="shared" si="173"/>
        <v>0</v>
      </c>
      <c r="I91" s="35">
        <f t="shared" si="174"/>
        <v>0</v>
      </c>
      <c r="J91" s="36">
        <f t="shared" si="175"/>
        <v>0</v>
      </c>
      <c r="K91" s="36">
        <f t="shared" si="176"/>
        <v>0</v>
      </c>
      <c r="L91" s="36">
        <f t="shared" si="177"/>
        <v>0</v>
      </c>
      <c r="M91" s="36">
        <f t="shared" si="178"/>
        <v>0</v>
      </c>
      <c r="N91" s="36">
        <f t="shared" si="179"/>
        <v>0</v>
      </c>
      <c r="O91" s="36">
        <f t="shared" si="180"/>
        <v>0</v>
      </c>
      <c r="P91" s="36">
        <f t="shared" si="181"/>
        <v>0</v>
      </c>
      <c r="Q91" s="36">
        <f t="shared" si="182"/>
        <v>0</v>
      </c>
    </row>
    <row r="92" spans="2:17" ht="25.5" outlineLevel="2">
      <c r="B92" s="29" t="s">
        <v>236</v>
      </c>
      <c r="C92" s="37" t="s">
        <v>237</v>
      </c>
      <c r="D92" s="31" t="s">
        <v>238</v>
      </c>
      <c r="E92" s="32">
        <f t="shared" si="170"/>
        <v>0</v>
      </c>
      <c r="F92" s="33">
        <f t="shared" si="171"/>
        <v>0</v>
      </c>
      <c r="G92" s="33">
        <f t="shared" si="172"/>
        <v>0</v>
      </c>
      <c r="H92" s="34">
        <f t="shared" si="173"/>
        <v>0</v>
      </c>
      <c r="I92" s="35">
        <f t="shared" si="174"/>
        <v>0</v>
      </c>
      <c r="J92" s="36">
        <f t="shared" si="175"/>
        <v>0</v>
      </c>
      <c r="K92" s="36">
        <f t="shared" si="176"/>
        <v>0</v>
      </c>
      <c r="L92" s="36">
        <f t="shared" si="177"/>
        <v>0</v>
      </c>
      <c r="M92" s="36">
        <f t="shared" si="178"/>
        <v>0</v>
      </c>
      <c r="N92" s="36">
        <f t="shared" si="179"/>
        <v>0</v>
      </c>
      <c r="O92" s="36">
        <f t="shared" si="180"/>
        <v>0</v>
      </c>
      <c r="P92" s="36">
        <f t="shared" si="181"/>
        <v>0</v>
      </c>
      <c r="Q92" s="36">
        <f t="shared" si="182"/>
        <v>0</v>
      </c>
    </row>
    <row r="93" spans="2:17" ht="25.5" outlineLevel="2">
      <c r="B93" s="29" t="s">
        <v>239</v>
      </c>
      <c r="C93" s="37" t="s">
        <v>240</v>
      </c>
      <c r="D93" s="31" t="s">
        <v>241</v>
      </c>
      <c r="E93" s="32">
        <f t="shared" si="170"/>
        <v>0</v>
      </c>
      <c r="F93" s="33">
        <f t="shared" si="171"/>
        <v>0</v>
      </c>
      <c r="G93" s="33">
        <f t="shared" si="172"/>
        <v>0</v>
      </c>
      <c r="H93" s="34">
        <f t="shared" si="173"/>
        <v>0</v>
      </c>
      <c r="I93" s="35">
        <f t="shared" si="174"/>
        <v>0</v>
      </c>
      <c r="J93" s="36">
        <f t="shared" si="175"/>
        <v>0</v>
      </c>
      <c r="K93" s="36">
        <f t="shared" si="176"/>
        <v>0</v>
      </c>
      <c r="L93" s="36">
        <f t="shared" si="177"/>
        <v>0</v>
      </c>
      <c r="M93" s="36">
        <f t="shared" si="178"/>
        <v>0</v>
      </c>
      <c r="N93" s="36">
        <f t="shared" si="179"/>
        <v>0</v>
      </c>
      <c r="O93" s="36">
        <f t="shared" si="180"/>
        <v>0</v>
      </c>
      <c r="P93" s="36">
        <f t="shared" si="181"/>
        <v>0</v>
      </c>
      <c r="Q93" s="36">
        <f t="shared" si="182"/>
        <v>0</v>
      </c>
    </row>
    <row r="94" spans="2:17" ht="25.5" outlineLevel="2">
      <c r="B94" s="29" t="s">
        <v>242</v>
      </c>
      <c r="C94" s="37" t="s">
        <v>243</v>
      </c>
      <c r="D94" s="31" t="s">
        <v>244</v>
      </c>
      <c r="E94" s="32">
        <f t="shared" si="170"/>
        <v>0</v>
      </c>
      <c r="F94" s="33">
        <f t="shared" si="171"/>
        <v>0</v>
      </c>
      <c r="G94" s="33">
        <f t="shared" si="172"/>
        <v>0</v>
      </c>
      <c r="H94" s="34">
        <f t="shared" si="173"/>
        <v>0</v>
      </c>
      <c r="I94" s="35">
        <f t="shared" si="174"/>
        <v>0</v>
      </c>
      <c r="J94" s="36">
        <f t="shared" si="175"/>
        <v>0</v>
      </c>
      <c r="K94" s="36">
        <f t="shared" si="176"/>
        <v>0</v>
      </c>
      <c r="L94" s="36">
        <f t="shared" si="177"/>
        <v>0</v>
      </c>
      <c r="M94" s="36">
        <f t="shared" si="178"/>
        <v>0</v>
      </c>
      <c r="N94" s="36">
        <f t="shared" si="179"/>
        <v>0</v>
      </c>
      <c r="O94" s="36">
        <f t="shared" si="180"/>
        <v>0</v>
      </c>
      <c r="P94" s="36">
        <f t="shared" si="181"/>
        <v>0</v>
      </c>
      <c r="Q94" s="36">
        <f t="shared" si="182"/>
        <v>0</v>
      </c>
    </row>
    <row r="95" spans="2:17" ht="18.75" customHeight="1" outlineLevel="2">
      <c r="B95" s="29" t="s">
        <v>245</v>
      </c>
      <c r="C95" s="37" t="s">
        <v>246</v>
      </c>
      <c r="D95" s="31" t="s">
        <v>247</v>
      </c>
      <c r="E95" s="32">
        <f t="shared" si="170"/>
        <v>0</v>
      </c>
      <c r="F95" s="33">
        <f t="shared" si="171"/>
        <v>0</v>
      </c>
      <c r="G95" s="33">
        <f t="shared" si="172"/>
        <v>0</v>
      </c>
      <c r="H95" s="34">
        <f t="shared" si="173"/>
        <v>0</v>
      </c>
      <c r="I95" s="35">
        <f t="shared" si="174"/>
        <v>0</v>
      </c>
      <c r="J95" s="36">
        <f t="shared" si="175"/>
        <v>0</v>
      </c>
      <c r="K95" s="36">
        <f t="shared" si="176"/>
        <v>0</v>
      </c>
      <c r="L95" s="36">
        <f t="shared" si="177"/>
        <v>0</v>
      </c>
      <c r="M95" s="36">
        <f t="shared" si="178"/>
        <v>0</v>
      </c>
      <c r="N95" s="36">
        <f t="shared" si="179"/>
        <v>0</v>
      </c>
      <c r="O95" s="36">
        <f t="shared" si="180"/>
        <v>0</v>
      </c>
      <c r="P95" s="36">
        <f t="shared" si="181"/>
        <v>0</v>
      </c>
      <c r="Q95" s="36">
        <f t="shared" si="182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5.5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4709034.88</f>
        <v>4709034.88</v>
      </c>
      <c r="F97" s="33">
        <f>2026525.28</f>
        <v>2026525.28</v>
      </c>
      <c r="G97" s="33">
        <f>915692</f>
        <v>915692</v>
      </c>
      <c r="H97" s="34">
        <f>915692</f>
        <v>915692</v>
      </c>
      <c r="I97" s="35">
        <f>1215692</f>
        <v>1215692</v>
      </c>
      <c r="J97" s="36">
        <f>1478204</f>
        <v>1478204</v>
      </c>
      <c r="K97" s="36">
        <f>1678204</f>
        <v>1678204</v>
      </c>
      <c r="L97" s="36">
        <f>1860004</f>
        <v>1860004</v>
      </c>
      <c r="M97" s="36">
        <f>2210004</f>
        <v>2210004</v>
      </c>
      <c r="N97" s="36">
        <f>2210004</f>
        <v>2210004</v>
      </c>
      <c r="O97" s="36">
        <f>2250004</f>
        <v>2250004</v>
      </c>
      <c r="P97" s="36">
        <f>2418000</f>
        <v>2418000</v>
      </c>
      <c r="Q97" s="36">
        <f>1250000</f>
        <v>1250000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83" ref="E98:E103">0</f>
        <v>0</v>
      </c>
      <c r="F98" s="33">
        <f aca="true" t="shared" si="184" ref="F98:F103">0</f>
        <v>0</v>
      </c>
      <c r="G98" s="33">
        <f aca="true" t="shared" si="185" ref="G98:G103">0</f>
        <v>0</v>
      </c>
      <c r="H98" s="34">
        <f aca="true" t="shared" si="186" ref="H98:H103">0</f>
        <v>0</v>
      </c>
      <c r="I98" s="35">
        <f aca="true" t="shared" si="187" ref="I98:I103">0</f>
        <v>0</v>
      </c>
      <c r="J98" s="36">
        <f aca="true" t="shared" si="188" ref="J98:J103">0</f>
        <v>0</v>
      </c>
      <c r="K98" s="36">
        <f aca="true" t="shared" si="189" ref="K98:K103">0</f>
        <v>0</v>
      </c>
      <c r="L98" s="36">
        <f aca="true" t="shared" si="190" ref="L98:L103">0</f>
        <v>0</v>
      </c>
      <c r="M98" s="36">
        <f aca="true" t="shared" si="191" ref="M98:M103">0</f>
        <v>0</v>
      </c>
      <c r="N98" s="36">
        <f aca="true" t="shared" si="192" ref="N98:N103">0</f>
        <v>0</v>
      </c>
      <c r="O98" s="36">
        <f aca="true" t="shared" si="193" ref="O98:O103">0</f>
        <v>0</v>
      </c>
      <c r="P98" s="36">
        <f aca="true" t="shared" si="194" ref="P98:P103">0</f>
        <v>0</v>
      </c>
      <c r="Q98" s="36">
        <f aca="true" t="shared" si="195" ref="Q98:Q103">0</f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83"/>
        <v>0</v>
      </c>
      <c r="F99" s="33">
        <f t="shared" si="184"/>
        <v>0</v>
      </c>
      <c r="G99" s="33">
        <f t="shared" si="185"/>
        <v>0</v>
      </c>
      <c r="H99" s="34">
        <f t="shared" si="186"/>
        <v>0</v>
      </c>
      <c r="I99" s="35">
        <f t="shared" si="187"/>
        <v>0</v>
      </c>
      <c r="J99" s="36">
        <f t="shared" si="188"/>
        <v>0</v>
      </c>
      <c r="K99" s="36">
        <f t="shared" si="189"/>
        <v>0</v>
      </c>
      <c r="L99" s="36">
        <f t="shared" si="190"/>
        <v>0</v>
      </c>
      <c r="M99" s="36">
        <f t="shared" si="191"/>
        <v>0</v>
      </c>
      <c r="N99" s="36">
        <f t="shared" si="192"/>
        <v>0</v>
      </c>
      <c r="O99" s="36">
        <f t="shared" si="193"/>
        <v>0</v>
      </c>
      <c r="P99" s="36">
        <f t="shared" si="194"/>
        <v>0</v>
      </c>
      <c r="Q99" s="36">
        <f t="shared" si="195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83"/>
        <v>0</v>
      </c>
      <c r="F100" s="33">
        <f t="shared" si="184"/>
        <v>0</v>
      </c>
      <c r="G100" s="33">
        <f t="shared" si="185"/>
        <v>0</v>
      </c>
      <c r="H100" s="34">
        <f t="shared" si="186"/>
        <v>0</v>
      </c>
      <c r="I100" s="35">
        <f t="shared" si="187"/>
        <v>0</v>
      </c>
      <c r="J100" s="36">
        <f t="shared" si="188"/>
        <v>0</v>
      </c>
      <c r="K100" s="36">
        <f t="shared" si="189"/>
        <v>0</v>
      </c>
      <c r="L100" s="36">
        <f t="shared" si="190"/>
        <v>0</v>
      </c>
      <c r="M100" s="36">
        <f t="shared" si="191"/>
        <v>0</v>
      </c>
      <c r="N100" s="36">
        <f t="shared" si="192"/>
        <v>0</v>
      </c>
      <c r="O100" s="36">
        <f t="shared" si="193"/>
        <v>0</v>
      </c>
      <c r="P100" s="36">
        <f t="shared" si="194"/>
        <v>0</v>
      </c>
      <c r="Q100" s="36">
        <f t="shared" si="195"/>
        <v>0</v>
      </c>
    </row>
    <row r="101" spans="1:17" ht="17.25" customHeight="1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83"/>
        <v>0</v>
      </c>
      <c r="F101" s="33">
        <f t="shared" si="184"/>
        <v>0</v>
      </c>
      <c r="G101" s="33">
        <f t="shared" si="185"/>
        <v>0</v>
      </c>
      <c r="H101" s="34">
        <f t="shared" si="186"/>
        <v>0</v>
      </c>
      <c r="I101" s="35">
        <f t="shared" si="187"/>
        <v>0</v>
      </c>
      <c r="J101" s="36">
        <f t="shared" si="188"/>
        <v>0</v>
      </c>
      <c r="K101" s="36">
        <f t="shared" si="189"/>
        <v>0</v>
      </c>
      <c r="L101" s="36">
        <f t="shared" si="190"/>
        <v>0</v>
      </c>
      <c r="M101" s="36">
        <f t="shared" si="191"/>
        <v>0</v>
      </c>
      <c r="N101" s="36">
        <f t="shared" si="192"/>
        <v>0</v>
      </c>
      <c r="O101" s="36">
        <f t="shared" si="193"/>
        <v>0</v>
      </c>
      <c r="P101" s="36">
        <f t="shared" si="194"/>
        <v>0</v>
      </c>
      <c r="Q101" s="36">
        <f t="shared" si="195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83"/>
        <v>0</v>
      </c>
      <c r="F102" s="33">
        <f t="shared" si="184"/>
        <v>0</v>
      </c>
      <c r="G102" s="33">
        <f t="shared" si="185"/>
        <v>0</v>
      </c>
      <c r="H102" s="34">
        <f t="shared" si="186"/>
        <v>0</v>
      </c>
      <c r="I102" s="35">
        <f t="shared" si="187"/>
        <v>0</v>
      </c>
      <c r="J102" s="36">
        <f t="shared" si="188"/>
        <v>0</v>
      </c>
      <c r="K102" s="36">
        <f t="shared" si="189"/>
        <v>0</v>
      </c>
      <c r="L102" s="36">
        <f t="shared" si="190"/>
        <v>0</v>
      </c>
      <c r="M102" s="36">
        <f t="shared" si="191"/>
        <v>0</v>
      </c>
      <c r="N102" s="36">
        <f t="shared" si="192"/>
        <v>0</v>
      </c>
      <c r="O102" s="36">
        <f t="shared" si="193"/>
        <v>0</v>
      </c>
      <c r="P102" s="36">
        <f t="shared" si="194"/>
        <v>0</v>
      </c>
      <c r="Q102" s="36">
        <f t="shared" si="195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83"/>
        <v>0</v>
      </c>
      <c r="F103" s="60">
        <f t="shared" si="184"/>
        <v>0</v>
      </c>
      <c r="G103" s="60">
        <f t="shared" si="185"/>
        <v>0</v>
      </c>
      <c r="H103" s="61">
        <f t="shared" si="186"/>
        <v>0</v>
      </c>
      <c r="I103" s="62">
        <f t="shared" si="187"/>
        <v>0</v>
      </c>
      <c r="J103" s="63">
        <f t="shared" si="188"/>
        <v>0</v>
      </c>
      <c r="K103" s="63">
        <f t="shared" si="189"/>
        <v>0</v>
      </c>
      <c r="L103" s="63">
        <f t="shared" si="190"/>
        <v>0</v>
      </c>
      <c r="M103" s="63">
        <f t="shared" si="191"/>
        <v>0</v>
      </c>
      <c r="N103" s="63">
        <f t="shared" si="192"/>
        <v>0</v>
      </c>
      <c r="O103" s="63">
        <f t="shared" si="193"/>
        <v>0</v>
      </c>
      <c r="P103" s="63">
        <f t="shared" si="194"/>
        <v>0</v>
      </c>
      <c r="Q103" s="63">
        <f t="shared" si="195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196" ref="E105:E107">0</f>
        <v>0</v>
      </c>
      <c r="F105" s="76">
        <f aca="true" t="shared" si="197" ref="F105:F107">0</f>
        <v>0</v>
      </c>
      <c r="G105" s="76">
        <f aca="true" t="shared" si="198" ref="G105:G107">0</f>
        <v>0</v>
      </c>
      <c r="H105" s="77">
        <f aca="true" t="shared" si="199" ref="H105:H107">0</f>
        <v>0</v>
      </c>
      <c r="I105" s="78">
        <f aca="true" t="shared" si="200" ref="I105:I107">0</f>
        <v>0</v>
      </c>
      <c r="J105" s="79">
        <f aca="true" t="shared" si="201" ref="J105:J107">0</f>
        <v>0</v>
      </c>
      <c r="K105" s="79">
        <f aca="true" t="shared" si="202" ref="K105:K107">0</f>
        <v>0</v>
      </c>
      <c r="L105" s="79">
        <f aca="true" t="shared" si="203" ref="L105:L107">0</f>
        <v>0</v>
      </c>
      <c r="M105" s="79">
        <f aca="true" t="shared" si="204" ref="M105:M107">0</f>
        <v>0</v>
      </c>
      <c r="N105" s="79">
        <f aca="true" t="shared" si="205" ref="N105:N107">0</f>
        <v>0</v>
      </c>
      <c r="O105" s="79">
        <f aca="true" t="shared" si="206" ref="O105:O107">0</f>
        <v>0</v>
      </c>
      <c r="P105" s="79">
        <f aca="true" t="shared" si="207" ref="P105:P107">0</f>
        <v>0</v>
      </c>
      <c r="Q105" s="79">
        <f aca="true" t="shared" si="208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196"/>
        <v>0</v>
      </c>
      <c r="F106" s="33">
        <f t="shared" si="197"/>
        <v>0</v>
      </c>
      <c r="G106" s="33">
        <f t="shared" si="198"/>
        <v>0</v>
      </c>
      <c r="H106" s="34">
        <f t="shared" si="199"/>
        <v>0</v>
      </c>
      <c r="I106" s="35">
        <f t="shared" si="200"/>
        <v>0</v>
      </c>
      <c r="J106" s="36">
        <f t="shared" si="201"/>
        <v>0</v>
      </c>
      <c r="K106" s="36">
        <f t="shared" si="202"/>
        <v>0</v>
      </c>
      <c r="L106" s="36">
        <f t="shared" si="203"/>
        <v>0</v>
      </c>
      <c r="M106" s="36">
        <f t="shared" si="204"/>
        <v>0</v>
      </c>
      <c r="N106" s="36">
        <f t="shared" si="205"/>
        <v>0</v>
      </c>
      <c r="O106" s="36">
        <f t="shared" si="206"/>
        <v>0</v>
      </c>
      <c r="P106" s="36">
        <f t="shared" si="207"/>
        <v>0</v>
      </c>
      <c r="Q106" s="36">
        <f t="shared" si="208"/>
        <v>0</v>
      </c>
    </row>
    <row r="107" spans="1:17" ht="25.5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196"/>
        <v>0</v>
      </c>
      <c r="F107" s="60">
        <f t="shared" si="197"/>
        <v>0</v>
      </c>
      <c r="G107" s="60">
        <f t="shared" si="198"/>
        <v>0</v>
      </c>
      <c r="H107" s="61">
        <f t="shared" si="199"/>
        <v>0</v>
      </c>
      <c r="I107" s="62">
        <f t="shared" si="200"/>
        <v>0</v>
      </c>
      <c r="J107" s="63">
        <f t="shared" si="201"/>
        <v>0</v>
      </c>
      <c r="K107" s="63">
        <f t="shared" si="202"/>
        <v>0</v>
      </c>
      <c r="L107" s="63">
        <f t="shared" si="203"/>
        <v>0</v>
      </c>
      <c r="M107" s="63">
        <f t="shared" si="204"/>
        <v>0</v>
      </c>
      <c r="N107" s="63">
        <f t="shared" si="205"/>
        <v>0</v>
      </c>
      <c r="O107" s="63">
        <f t="shared" si="206"/>
        <v>0</v>
      </c>
      <c r="P107" s="63">
        <f t="shared" si="207"/>
        <v>0</v>
      </c>
      <c r="Q107" s="63">
        <f t="shared" si="208"/>
        <v>0</v>
      </c>
    </row>
    <row r="108" spans="1:17" ht="25.5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90">
        <f>+IF(I45&lt;0,I45,"")</f>
        <v>0</v>
      </c>
      <c r="J109" s="90">
        <f>+IF(J45&lt;0,J45,"")</f>
        <v>0</v>
      </c>
      <c r="K109" s="90">
        <f>+IF(K45&lt;0,K45,"")</f>
        <v>0</v>
      </c>
      <c r="L109" s="90">
        <f>+IF(L45&lt;0,L45,"")</f>
        <v>0</v>
      </c>
      <c r="M109" s="90">
        <f>+IF(M45&lt;0,M45,"")</f>
        <v>0</v>
      </c>
      <c r="N109" s="90">
        <f>+IF(N45&lt;0,N45,"")</f>
        <v>0</v>
      </c>
      <c r="O109" s="90">
        <f>+IF(O45&lt;0,O45,"")</f>
        <v>0</v>
      </c>
      <c r="P109" s="90">
        <f>+IF(P45&lt;0,P45,"")</f>
        <v>0</v>
      </c>
      <c r="Q109" s="90">
        <f>+IF(Q45&lt;0,Q45,"")</f>
        <v>0</v>
      </c>
    </row>
    <row r="110" spans="1:17" ht="14.25" hidden="1" outlineLevel="2">
      <c r="A110" s="1" t="s">
        <v>8</v>
      </c>
      <c r="B110" s="91" t="s">
        <v>282</v>
      </c>
      <c r="C110" s="85"/>
      <c r="D110" s="92" t="s">
        <v>283</v>
      </c>
      <c r="E110" s="93" t="s">
        <v>8</v>
      </c>
      <c r="F110" s="94" t="s">
        <v>8</v>
      </c>
      <c r="G110" s="94" t="s">
        <v>8</v>
      </c>
      <c r="H110" s="95" t="s">
        <v>8</v>
      </c>
      <c r="I110" s="96">
        <f>IF(I50&lt;=I52,"",I52-I50)</f>
        <v>0</v>
      </c>
      <c r="J110" s="96">
        <f>IF(J50&lt;=J52,"",J52-J50)</f>
        <v>-0.0001999999999999988</v>
      </c>
      <c r="K110" s="96">
        <f>IF(K50&lt;=K52,"",K52-K50)</f>
        <v>-0.005999999999999998</v>
      </c>
      <c r="L110" s="96">
        <f>IF(L50&lt;=L52,"",L52-L50)</f>
        <v>0</v>
      </c>
      <c r="M110" s="96">
        <f>IF(M50&lt;=M52,"",M52-M50)</f>
        <v>0</v>
      </c>
      <c r="N110" s="96">
        <f>IF(N50&lt;=N52,"",N52-N50)</f>
        <v>0</v>
      </c>
      <c r="O110" s="96">
        <f>IF(O50&lt;=O52,"",O52-O50)</f>
        <v>0</v>
      </c>
      <c r="P110" s="96">
        <f>IF(P50&lt;=P52,"",P52-P50)</f>
        <v>0</v>
      </c>
      <c r="Q110" s="96">
        <f>IF(Q50&lt;=Q52,"",Q52-Q50)</f>
        <v>0</v>
      </c>
    </row>
    <row r="111" spans="1:17" ht="14.25" hidden="1" outlineLevel="2">
      <c r="A111" s="1" t="s">
        <v>8</v>
      </c>
      <c r="B111" s="97" t="s">
        <v>284</v>
      </c>
      <c r="C111" s="98"/>
      <c r="D111" s="99" t="s">
        <v>285</v>
      </c>
      <c r="E111" s="100" t="s">
        <v>8</v>
      </c>
      <c r="F111" s="101" t="s">
        <v>8</v>
      </c>
      <c r="G111" s="101" t="s">
        <v>8</v>
      </c>
      <c r="H111" s="102" t="s">
        <v>8</v>
      </c>
      <c r="I111" s="103">
        <f>IF(I50&lt;=I53,"",I53-I50)</f>
        <v>0</v>
      </c>
      <c r="J111" s="103">
        <f>IF(J50&lt;=J53,"",J53-J50)</f>
        <v>0</v>
      </c>
      <c r="K111" s="103">
        <f>IF(K50&lt;=K53,"",K53-K50)</f>
        <v>0</v>
      </c>
      <c r="L111" s="103">
        <f>IF(L50&lt;=L53,"",L53-L50)</f>
        <v>0</v>
      </c>
      <c r="M111" s="103">
        <f>IF(M50&lt;=M53,"",M53-M50)</f>
        <v>0</v>
      </c>
      <c r="N111" s="103">
        <f>IF(N50&lt;=N53,"",N53-N50)</f>
        <v>0</v>
      </c>
      <c r="O111" s="103">
        <f>IF(O50&lt;=O53,"",O53-O50)</f>
        <v>0</v>
      </c>
      <c r="P111" s="103">
        <f>IF(P50&lt;=P53,"",P53-P50)</f>
        <v>0</v>
      </c>
      <c r="Q111" s="103">
        <f>IF(Q50&lt;=Q53,"",Q53-Q50)</f>
        <v>0</v>
      </c>
    </row>
    <row r="112" spans="2:18" ht="14.25" customHeight="1" collapsed="1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5" t="s">
        <v>286</v>
      </c>
      <c r="Q112" s="105"/>
      <c r="R112" s="9"/>
    </row>
    <row r="113" spans="2:18" ht="15" customHeight="1">
      <c r="B113" s="106"/>
      <c r="C113" s="104"/>
      <c r="D113" s="104"/>
      <c r="E113" s="107"/>
      <c r="F113" s="107"/>
      <c r="G113" s="107"/>
      <c r="H113" s="107"/>
      <c r="I113" s="104"/>
      <c r="J113" s="104"/>
      <c r="K113" s="104"/>
      <c r="L113" s="104"/>
      <c r="M113" s="104"/>
      <c r="N113" s="104"/>
      <c r="O113" s="104"/>
      <c r="P113" s="108" t="s">
        <v>287</v>
      </c>
      <c r="Q113" s="108"/>
      <c r="R113" s="9"/>
    </row>
    <row r="114" spans="2:18" ht="14.25">
      <c r="B114" s="109"/>
      <c r="C114" s="104"/>
      <c r="D114" s="104"/>
      <c r="E114" s="110"/>
      <c r="F114" s="110"/>
      <c r="G114" s="110"/>
      <c r="H114" s="110"/>
      <c r="I114" s="104"/>
      <c r="J114" s="104"/>
      <c r="K114" s="104"/>
      <c r="L114" s="104"/>
      <c r="M114" s="104"/>
      <c r="N114" s="104"/>
      <c r="O114" s="104"/>
      <c r="P114" s="104"/>
      <c r="Q114" s="104"/>
      <c r="R114" s="9"/>
    </row>
    <row r="115" spans="2:18" ht="14.25">
      <c r="B115" s="111"/>
      <c r="C115" s="111"/>
      <c r="D115" s="104"/>
      <c r="E115" s="110"/>
      <c r="F115" s="110"/>
      <c r="G115" s="110"/>
      <c r="H115" s="110"/>
      <c r="I115" s="104"/>
      <c r="J115" s="104"/>
      <c r="K115" s="104"/>
      <c r="L115" s="104"/>
      <c r="M115" s="104"/>
      <c r="N115" s="104"/>
      <c r="O115" s="104"/>
      <c r="P115" s="104"/>
      <c r="Q115" s="104"/>
      <c r="R115" s="9"/>
    </row>
    <row r="116" spans="2:18" ht="14.25">
      <c r="B116" s="111"/>
      <c r="C116" s="111"/>
      <c r="D116" s="104"/>
      <c r="E116" s="110"/>
      <c r="F116" s="110"/>
      <c r="G116" s="110"/>
      <c r="H116" s="110"/>
      <c r="I116" s="104"/>
      <c r="J116" s="104"/>
      <c r="K116" s="104"/>
      <c r="L116" s="104"/>
      <c r="M116" s="104"/>
      <c r="N116" s="104"/>
      <c r="O116" s="104"/>
      <c r="P116" s="104"/>
      <c r="Q116" s="104"/>
      <c r="R116" s="9"/>
    </row>
    <row r="117" spans="2:18" ht="15">
      <c r="B117" s="112" t="s">
        <v>288</v>
      </c>
      <c r="C117" s="112"/>
      <c r="D117" s="112"/>
      <c r="E117" s="113"/>
      <c r="F117" s="113"/>
      <c r="G117" s="113"/>
      <c r="H117" s="110"/>
      <c r="I117" s="104"/>
      <c r="J117" s="104"/>
      <c r="K117" s="104"/>
      <c r="L117" s="104"/>
      <c r="M117" s="104"/>
      <c r="N117" s="104"/>
      <c r="O117" s="104"/>
      <c r="P117" s="104"/>
      <c r="Q117" s="104"/>
      <c r="R117" s="9"/>
    </row>
    <row r="118" spans="2:18" ht="14.25" outlineLevel="1">
      <c r="B118" s="114"/>
      <c r="C118" s="114"/>
      <c r="D118" s="115" t="s">
        <v>289</v>
      </c>
      <c r="E118" s="110"/>
      <c r="F118" s="110"/>
      <c r="G118" s="110"/>
      <c r="H118" s="110"/>
      <c r="I118" s="104"/>
      <c r="J118" s="104"/>
      <c r="K118" s="104"/>
      <c r="L118" s="104"/>
      <c r="M118" s="104"/>
      <c r="N118" s="104"/>
      <c r="O118" s="104"/>
      <c r="P118" s="104"/>
      <c r="Q118" s="104"/>
      <c r="R118" s="9"/>
    </row>
    <row r="119" spans="2:18" ht="14.25" outlineLevel="1">
      <c r="B119" s="114"/>
      <c r="C119" s="114"/>
      <c r="D119" s="116" t="s">
        <v>290</v>
      </c>
      <c r="E119" s="110"/>
      <c r="F119" s="110"/>
      <c r="G119" s="110"/>
      <c r="H119" s="110"/>
      <c r="I119" s="104"/>
      <c r="J119" s="104"/>
      <c r="K119" s="104"/>
      <c r="L119" s="104"/>
      <c r="M119" s="104"/>
      <c r="N119" s="104"/>
      <c r="O119" s="104"/>
      <c r="P119" s="104"/>
      <c r="Q119" s="104"/>
      <c r="R119" s="9"/>
    </row>
    <row r="120" spans="2:18" ht="14.25" outlineLevel="1">
      <c r="B120" s="114"/>
      <c r="C120" s="114"/>
      <c r="D120" s="117" t="s">
        <v>291</v>
      </c>
      <c r="E120" s="110"/>
      <c r="F120" s="110"/>
      <c r="G120" s="110"/>
      <c r="H120" s="110"/>
      <c r="I120" s="104"/>
      <c r="J120" s="104"/>
      <c r="K120" s="104"/>
      <c r="L120" s="104"/>
      <c r="M120" s="104"/>
      <c r="N120" s="104"/>
      <c r="O120" s="104"/>
      <c r="P120" s="104"/>
      <c r="Q120" s="104"/>
      <c r="R120" s="9"/>
    </row>
    <row r="121" spans="2:18" ht="14.25" outlineLevel="1">
      <c r="B121" s="118"/>
      <c r="C121" s="118"/>
      <c r="D121" s="119" t="s">
        <v>292</v>
      </c>
      <c r="E121" s="110"/>
      <c r="F121" s="110"/>
      <c r="G121" s="110"/>
      <c r="H121" s="110"/>
      <c r="I121" s="104"/>
      <c r="J121" s="104"/>
      <c r="K121" s="104"/>
      <c r="L121" s="104"/>
      <c r="M121" s="104"/>
      <c r="N121" s="104"/>
      <c r="O121" s="104"/>
      <c r="P121" s="104"/>
      <c r="Q121" s="104"/>
      <c r="R121" s="9"/>
    </row>
    <row r="122" spans="2:17" ht="14.25" outlineLevel="2">
      <c r="B122" s="120" t="s">
        <v>293</v>
      </c>
      <c r="C122" s="121" t="s">
        <v>293</v>
      </c>
      <c r="D122" s="122" t="s">
        <v>294</v>
      </c>
      <c r="E122" s="123" t="s">
        <v>8</v>
      </c>
      <c r="F122" s="124" t="s">
        <v>8</v>
      </c>
      <c r="G122" s="124" t="s">
        <v>8</v>
      </c>
      <c r="H122" s="125" t="s">
        <v>8</v>
      </c>
      <c r="I122" s="126">
        <f>IF(ROUND(I4+I26+I28,2)&gt;=ROUND(I15-I18,2),"TAK","NIE")</f>
        <v>0</v>
      </c>
      <c r="J122" s="127">
        <f>IF(ROUND(J4+J26+J28,2)&gt;=ROUND(J15-J18,2),"TAK","NIE")</f>
        <v>0</v>
      </c>
      <c r="K122" s="127">
        <f>IF(ROUND(K4+K26+K28,2)&gt;=ROUND(K15-K18,2),"TAK","NIE")</f>
        <v>0</v>
      </c>
      <c r="L122" s="127">
        <f>IF(ROUND(L4+L26+L28,2)&gt;=ROUND(L15-L18,2),"TAK","NIE")</f>
        <v>0</v>
      </c>
      <c r="M122" s="127">
        <f>IF(ROUND(M4+M26+M28,2)&gt;=ROUND(M15-M18,2),"TAK","NIE")</f>
        <v>0</v>
      </c>
      <c r="N122" s="127">
        <f>IF(ROUND(N4+N26+N28,2)&gt;=ROUND(N15-N18,2),"TAK","NIE")</f>
        <v>0</v>
      </c>
      <c r="O122" s="127">
        <f>IF(ROUND(O4+O26+O28,2)&gt;=ROUND(O15-O18,2),"TAK","NIE")</f>
        <v>0</v>
      </c>
      <c r="P122" s="127">
        <f>IF(ROUND(P4+P26+P28,2)&gt;=ROUND(P15-P18,2),"TAK","NIE")</f>
        <v>0</v>
      </c>
      <c r="Q122" s="127">
        <f>IF(ROUND(Q4+Q26+Q28,2)&gt;=ROUND(Q15-Q18,2),"TAK","NIE")</f>
        <v>0</v>
      </c>
    </row>
    <row r="123" spans="2:17" ht="14.25" outlineLevel="2">
      <c r="B123" s="128" t="s">
        <v>295</v>
      </c>
      <c r="C123" s="129" t="s">
        <v>295</v>
      </c>
      <c r="D123" s="130" t="s">
        <v>296</v>
      </c>
      <c r="E123" s="131" t="s">
        <v>8</v>
      </c>
      <c r="F123" s="132" t="s">
        <v>8</v>
      </c>
      <c r="G123" s="132" t="s">
        <v>8</v>
      </c>
      <c r="H123" s="133" t="s">
        <v>8</v>
      </c>
      <c r="I123" s="134" t="s">
        <v>8</v>
      </c>
      <c r="J123" s="135" t="s">
        <v>8</v>
      </c>
      <c r="K123" s="135">
        <f>IF(K91=0,"TAK","BŁĄD")</f>
        <v>0</v>
      </c>
      <c r="L123" s="135">
        <f>IF(L91=0,"TAK","BŁĄD")</f>
        <v>0</v>
      </c>
      <c r="M123" s="135">
        <f>IF(M91=0,"TAK","BŁĄD")</f>
        <v>0</v>
      </c>
      <c r="N123" s="135">
        <f>IF(N91=0,"TAK","BŁĄD")</f>
        <v>0</v>
      </c>
      <c r="O123" s="135">
        <f>IF(O91=0,"TAK","BŁĄD")</f>
        <v>0</v>
      </c>
      <c r="P123" s="135">
        <f>IF(P91=0,"TAK","BŁĄD")</f>
        <v>0</v>
      </c>
      <c r="Q123" s="135">
        <f>IF(Q91=0,"TAK","BŁĄD")</f>
        <v>0</v>
      </c>
    </row>
    <row r="124" spans="2:17" ht="14.25" outlineLevel="1">
      <c r="B124" s="128" t="s">
        <v>297</v>
      </c>
      <c r="C124" s="129" t="s">
        <v>297</v>
      </c>
      <c r="D124" s="136" t="s">
        <v>298</v>
      </c>
      <c r="E124" s="131" t="s">
        <v>8</v>
      </c>
      <c r="F124" s="132" t="s">
        <v>8</v>
      </c>
      <c r="G124" s="132" t="s">
        <v>8</v>
      </c>
      <c r="H124" s="133" t="s">
        <v>8</v>
      </c>
      <c r="I124" s="137">
        <f>IF(ROUND(I3+I25-I14-I34,2)=0,"OK",ROUND(I3+I25-I14-I34,2))</f>
        <v>0</v>
      </c>
      <c r="J124" s="138">
        <f>IF(ROUND(J3+J25-J14-J34,2)=0,"OK",ROUND(J3+J25-J14-J34,2))</f>
        <v>0</v>
      </c>
      <c r="K124" s="138">
        <f>IF(ROUND(K3+K25-K14-K34,2)=0,"OK",ROUND(K3+K25-K14-K34,2))</f>
        <v>0</v>
      </c>
      <c r="L124" s="138">
        <f>IF(ROUND(L3+L25-L14-L34,2)=0,"OK",ROUND(L3+L25-L14-L34,2))</f>
        <v>0</v>
      </c>
      <c r="M124" s="138">
        <f>IF(ROUND(M3+M25-M14-M34,2)=0,"OK",ROUND(M3+M25-M14-M34,2))</f>
        <v>0</v>
      </c>
      <c r="N124" s="138">
        <f>IF(ROUND(N3+N25-N14-N34,2)=0,"OK",ROUND(N3+N25-N14-N34,2))</f>
        <v>0</v>
      </c>
      <c r="O124" s="138">
        <f>IF(ROUND(O3+O25-O14-O34,2)=0,"OK",ROUND(O3+O25-O14-O34,2))</f>
        <v>0</v>
      </c>
      <c r="P124" s="138">
        <f>IF(ROUND(P3+P25-P14-P34,2)=0,"OK",ROUND(P3+P25-P14-P34,2))</f>
        <v>0</v>
      </c>
      <c r="Q124" s="138">
        <f>IF(ROUND(Q3+Q25-Q14-Q34,2)=0,"OK",ROUND(Q3+Q25-Q14-Q34,2))</f>
        <v>0</v>
      </c>
    </row>
    <row r="125" spans="2:17" ht="14.25" outlineLevel="2">
      <c r="B125" s="139" t="s">
        <v>299</v>
      </c>
      <c r="C125" s="140" t="s">
        <v>299</v>
      </c>
      <c r="D125" s="136" t="s">
        <v>300</v>
      </c>
      <c r="E125" s="131" t="s">
        <v>8</v>
      </c>
      <c r="F125" s="132" t="s">
        <v>8</v>
      </c>
      <c r="G125" s="132" t="s">
        <v>8</v>
      </c>
      <c r="H125" s="133" t="s">
        <v>8</v>
      </c>
      <c r="I125" s="137">
        <f>+IF(ROUND(H41+I30-I35+(I98-H98)+I103-I41,2)=0,"OK",ROUND(H41+I30-I35+(I98-H98)+I103-I41,2))</f>
        <v>0</v>
      </c>
      <c r="J125" s="138">
        <f>+IF(ROUND(I41+J30-J35+(J98-I98)+J103-J41,2)=0,"OK",ROUND(I41+J30-J35+(J98-I98)+J103-J41,2))</f>
        <v>0</v>
      </c>
      <c r="K125" s="138">
        <f>+IF(ROUND(J41+K30-K35+(K98-J98)+K103-K41,2)=0,"OK",ROUND(J41+K30-K35+(K98-J98)+K103-K41,2))</f>
        <v>0</v>
      </c>
      <c r="L125" s="138">
        <f>+IF(ROUND(K41+L30-L35+(L98-K98)+L103-L41,2)=0,"OK",ROUND(K41+L30-L35+(L98-K98)+L103-L41,2))</f>
        <v>0</v>
      </c>
      <c r="M125" s="138">
        <f>+IF(ROUND(L41+M30-M35+(M98-L98)+M103-M41,2)=0,"OK",ROUND(L41+M30-M35+(M98-L98)+M103-M41,2))</f>
        <v>0</v>
      </c>
      <c r="N125" s="138">
        <f>+IF(ROUND(M41+N30-N35+(N98-M98)+N103-N41,2)=0,"OK",ROUND(M41+N30-N35+(N98-M98)+N103-N41,2))</f>
        <v>0</v>
      </c>
      <c r="O125" s="138">
        <f>+IF(ROUND(N41+O30-O35+(O98-N98)+O103-O41,2)=0,"OK",ROUND(N41+O30-O35+(O98-N98)+O103-O41,2))</f>
        <v>0</v>
      </c>
      <c r="P125" s="138">
        <f>+IF(ROUND(O41+P30-P35+(P98-O98)+P103-P41,2)=0,"OK",ROUND(O41+P30-P35+(P98-O98)+P103-P41,2))</f>
        <v>0</v>
      </c>
      <c r="Q125" s="138">
        <f>+IF(ROUND(P41+Q30-Q35+(Q98-P98)+Q103-Q41,2)=0,"OK",ROUND(P41+Q30-Q35+(Q98-P98)+Q103-Q41,2))</f>
        <v>0</v>
      </c>
    </row>
    <row r="126" spans="2:17" ht="48" outlineLevel="2">
      <c r="B126" s="139" t="s">
        <v>301</v>
      </c>
      <c r="C126" s="140" t="s">
        <v>301</v>
      </c>
      <c r="D126" s="136" t="s">
        <v>302</v>
      </c>
      <c r="E126" s="141" t="s">
        <v>8</v>
      </c>
      <c r="F126" s="132" t="s">
        <v>8</v>
      </c>
      <c r="G126" s="132" t="s">
        <v>8</v>
      </c>
      <c r="H126" s="133" t="s">
        <v>8</v>
      </c>
      <c r="I126" s="138">
        <f>+IF(H98=0,"N/D",IF(ROUND(I98+I99-H98,2)=0,"OK",ROUND(I98+I99-H98,2)))</f>
        <v>0</v>
      </c>
      <c r="J126" s="138">
        <f>+IF(I98=0,"N/D",IF(ROUND(J98+J99-I98,2)=0,"OK",ROUND(J98+J99-I98,2)))</f>
        <v>0</v>
      </c>
      <c r="K126" s="138">
        <f>+IF(J98=0,"N/D",IF(ROUND(K98+K99-J98,2)=0,"OK",ROUND(K98+K99-J98,2)))</f>
        <v>0</v>
      </c>
      <c r="L126" s="138">
        <f>+IF(K98=0,"N/D",IF(ROUND(L98+L99-K98,2)=0,"OK",ROUND(L98+L99-K98,2)))</f>
        <v>0</v>
      </c>
      <c r="M126" s="138">
        <f>+IF(L98=0,"N/D",IF(ROUND(M98+M99-L98,2)=0,"OK",ROUND(M98+M99-L98,2)))</f>
        <v>0</v>
      </c>
      <c r="N126" s="138">
        <f>+IF(M98=0,"N/D",IF(ROUND(N98+N99-M98,2)=0,"OK",ROUND(N98+N99-M98,2)))</f>
        <v>0</v>
      </c>
      <c r="O126" s="138">
        <f>+IF(N98=0,"N/D",IF(ROUND(O98+O99-N98,2)=0,"OK",ROUND(O98+O99-N98,2)))</f>
        <v>0</v>
      </c>
      <c r="P126" s="138">
        <f>+IF(O98=0,"N/D",IF(ROUND(P98+P99-O98,2)=0,"OK",ROUND(P98+P99-O98,2)))</f>
        <v>0</v>
      </c>
      <c r="Q126" s="138">
        <f>+IF(P98=0,"N/D",IF(ROUND(Q98+Q99-P98,2)=0,"OK",ROUND(Q98+Q99-P98,2)))</f>
        <v>0</v>
      </c>
    </row>
    <row r="127" spans="2:17" ht="24" outlineLevel="2">
      <c r="B127" s="139" t="s">
        <v>303</v>
      </c>
      <c r="C127" s="140" t="s">
        <v>303</v>
      </c>
      <c r="D127" s="136" t="s">
        <v>304</v>
      </c>
      <c r="E127" s="131" t="s">
        <v>8</v>
      </c>
      <c r="F127" s="132" t="s">
        <v>8</v>
      </c>
      <c r="G127" s="132" t="s">
        <v>8</v>
      </c>
      <c r="H127" s="133" t="s">
        <v>8</v>
      </c>
      <c r="I127" s="137">
        <f>+IF(H89=0,"N/D",IF(ROUND(I89+(I91+I92+I93+I94)-H89,2)=0,"OK",ROUND(I89+(I91+I92+I93+I94)-H89,2)))</f>
        <v>0</v>
      </c>
      <c r="J127" s="138">
        <f>+IF(I89=0,"N/D",IF(ROUND(J89+(J91+J92+J93+J94)-I89,2)=0,"OK",ROUND(J89+(J91+J92+J93+J94)-I89,2)))</f>
        <v>0</v>
      </c>
      <c r="K127" s="138">
        <f>+IF(J89=0,"N/D",IF(ROUND(K89+(K91+K92+K93+K94)-J89,2)=0,"OK",ROUND(K89+(K91+K92+K93+K94)-J89,2)))</f>
        <v>0</v>
      </c>
      <c r="L127" s="138">
        <f>+IF(K89=0,"N/D",IF(ROUND(L89+(L91+L92+L93+L94)-K89,2)=0,"OK",ROUND(L89+(L91+L92+L93+L94)-K89,2)))</f>
        <v>0</v>
      </c>
      <c r="M127" s="138">
        <f>+IF(L89=0,"N/D",IF(ROUND(M89+(M91+M92+M93+M94)-L89,2)=0,"OK",ROUND(M89+(M91+M92+M93+M94)-L89,2)))</f>
        <v>0</v>
      </c>
      <c r="N127" s="138">
        <f>+IF(M89=0,"N/D",IF(ROUND(N89+(N91+N92+N93+N94)-M89,2)=0,"OK",ROUND(N89+(N91+N92+N93+N94)-M89,2)))</f>
        <v>0</v>
      </c>
      <c r="O127" s="138">
        <f>+IF(N89=0,"N/D",IF(ROUND(O89+(O91+O92+O93+O94)-N89,2)=0,"OK",ROUND(O89+(O91+O92+O93+O94)-N89,2)))</f>
        <v>0</v>
      </c>
      <c r="P127" s="138">
        <f>+IF(O89=0,"N/D",IF(ROUND(P89+(P91+P92+P93+P94)-O89,2)=0,"OK",ROUND(P89+(P91+P92+P93+P94)-O89,2)))</f>
        <v>0</v>
      </c>
      <c r="Q127" s="138">
        <f>+IF(P89=0,"N/D",IF(ROUND(Q89+(Q91+Q92+Q93+Q94)-P89,2)=0,"OK",ROUND(Q89+(Q91+Q92+Q93+Q94)-P89,2)))</f>
        <v>0</v>
      </c>
    </row>
    <row r="128" spans="2:17" ht="14.25" outlineLevel="1">
      <c r="B128" s="128" t="s">
        <v>305</v>
      </c>
      <c r="C128" s="129" t="s">
        <v>305</v>
      </c>
      <c r="D128" s="142" t="s">
        <v>306</v>
      </c>
      <c r="E128" s="131" t="s">
        <v>8</v>
      </c>
      <c r="F128" s="132" t="s">
        <v>8</v>
      </c>
      <c r="G128" s="132" t="s">
        <v>8</v>
      </c>
      <c r="H128" s="133" t="s">
        <v>8</v>
      </c>
      <c r="I128" s="143">
        <f>IF(I24&lt;0,IF(ROUND(I27+I29+I31+I33+I24,2)=0,"OK",ROUND(I27+I29+I31+I33+I24,2)),"N/D")</f>
        <v>0</v>
      </c>
      <c r="J128" s="144">
        <f>IF(J24&lt;0,IF(ROUND(J27+J29+J31+J33+J24,2)=0,"OK",ROUND(J27+J29+J31+J33+J24,2)),"N/D")</f>
        <v>0</v>
      </c>
      <c r="K128" s="144">
        <f>IF(K24&lt;0,IF(ROUND(K27+K29+K31+K33+K24,2)=0,"OK",ROUND(K27+K29+K31+K33+K24,2)),"N/D")</f>
        <v>0</v>
      </c>
      <c r="L128" s="144">
        <f>IF(L24&lt;0,IF(ROUND(L27+L29+L31+L33+L24,2)=0,"OK",ROUND(L27+L29+L31+L33+L24,2)),"N/D")</f>
        <v>0</v>
      </c>
      <c r="M128" s="144">
        <f>IF(M24&lt;0,IF(ROUND(M27+M29+M31+M33+M24,2)=0,"OK",ROUND(M27+M29+M31+M33+M24,2)),"N/D")</f>
        <v>0</v>
      </c>
      <c r="N128" s="144">
        <f>IF(N24&lt;0,IF(ROUND(N27+N29+N31+N33+N24,2)=0,"OK",ROUND(N27+N29+N31+N33+N24,2)),"N/D")</f>
        <v>0</v>
      </c>
      <c r="O128" s="144">
        <f>IF(O24&lt;0,IF(ROUND(O27+O29+O31+O33+O24,2)=0,"OK",ROUND(O27+O29+O31+O33+O24,2)),"N/D")</f>
        <v>0</v>
      </c>
      <c r="P128" s="144">
        <f>IF(P24&lt;0,IF(ROUND(P27+P29+P31+P33+P24,2)=0,"OK",ROUND(P27+P29+P31+P33+P24,2)),"N/D")</f>
        <v>0</v>
      </c>
      <c r="Q128" s="144">
        <f>IF(Q24&lt;0,IF(ROUND(Q27+Q29+Q31+Q33+Q24,2)=0,"OK",ROUND(Q27+Q29+Q31+Q33+Q24,2)),"N/D")</f>
        <v>0</v>
      </c>
    </row>
    <row r="129" spans="2:17" ht="14.25" outlineLevel="2">
      <c r="B129" s="128" t="s">
        <v>307</v>
      </c>
      <c r="C129" s="129" t="s">
        <v>307</v>
      </c>
      <c r="D129" s="142" t="s">
        <v>308</v>
      </c>
      <c r="E129" s="131" t="s">
        <v>8</v>
      </c>
      <c r="F129" s="132" t="s">
        <v>8</v>
      </c>
      <c r="G129" s="132" t="s">
        <v>8</v>
      </c>
      <c r="H129" s="133" t="s">
        <v>8</v>
      </c>
      <c r="I129" s="143">
        <f>IF(I24&gt;=0,IF(ROUND(I27+I29+I31+I33,2)=0,"OK",ROUND(I27+I29+I31+I33,2)),"N/D")</f>
        <v>0</v>
      </c>
      <c r="J129" s="144">
        <f>IF(J24&gt;=0,IF(ROUND(J27+J29+J31+J33,2)=0,"OK",ROUND(J27+J29+J31+J33,2)),"N/D")</f>
        <v>0</v>
      </c>
      <c r="K129" s="144">
        <f>IF(K24&gt;=0,IF(ROUND(K27+K29+K31+K33,2)=0,"OK",ROUND(K27+K29+K31+K33,2)),"N/D")</f>
        <v>0</v>
      </c>
      <c r="L129" s="144">
        <f>IF(L24&gt;=0,IF(ROUND(L27+L29+L31+L33,2)=0,"OK",ROUND(L27+L29+L31+L33,2)),"N/D")</f>
        <v>0</v>
      </c>
      <c r="M129" s="144">
        <f>IF(M24&gt;=0,IF(ROUND(M27+M29+M31+M33,2)=0,"OK",ROUND(M27+M29+M31+M33,2)),"N/D")</f>
        <v>0</v>
      </c>
      <c r="N129" s="144">
        <f>IF(N24&gt;=0,IF(ROUND(N27+N29+N31+N33,2)=0,"OK",ROUND(N27+N29+N31+N33,2)),"N/D")</f>
        <v>0</v>
      </c>
      <c r="O129" s="144">
        <f>IF(O24&gt;=0,IF(ROUND(O27+O29+O31+O33,2)=0,"OK",ROUND(O27+O29+O31+O33,2)),"N/D")</f>
        <v>0</v>
      </c>
      <c r="P129" s="144">
        <f>IF(P24&gt;=0,IF(ROUND(P27+P29+P31+P33,2)=0,"OK",ROUND(P27+P29+P31+P33,2)),"N/D")</f>
        <v>0</v>
      </c>
      <c r="Q129" s="144">
        <f>IF(Q24&gt;=0,IF(ROUND(Q27+Q29+Q31+Q33,2)=0,"OK",ROUND(Q27+Q29+Q31+Q33,2)),"N/D")</f>
        <v>0</v>
      </c>
    </row>
    <row r="130" spans="2:17" ht="14.25" outlineLevel="2">
      <c r="B130" s="128" t="s">
        <v>309</v>
      </c>
      <c r="C130" s="129" t="s">
        <v>309</v>
      </c>
      <c r="D130" s="142" t="s">
        <v>310</v>
      </c>
      <c r="E130" s="131" t="s">
        <v>8</v>
      </c>
      <c r="F130" s="132" t="s">
        <v>8</v>
      </c>
      <c r="G130" s="132" t="s">
        <v>8</v>
      </c>
      <c r="H130" s="133" t="s">
        <v>8</v>
      </c>
      <c r="I130" s="134">
        <f>IF(I7&gt;=I8,"OK","BŁĄD")</f>
        <v>0</v>
      </c>
      <c r="J130" s="135">
        <f>IF(J7&gt;=J8,"OK","BŁĄD")</f>
        <v>0</v>
      </c>
      <c r="K130" s="135">
        <f>IF(K7&gt;=K8,"OK","BŁĄD")</f>
        <v>0</v>
      </c>
      <c r="L130" s="135">
        <f>IF(L7&gt;=L8,"OK","BŁĄD")</f>
        <v>0</v>
      </c>
      <c r="M130" s="135">
        <f>IF(M7&gt;=M8,"OK","BŁĄD")</f>
        <v>0</v>
      </c>
      <c r="N130" s="135">
        <f>IF(N7&gt;=N8,"OK","BŁĄD")</f>
        <v>0</v>
      </c>
      <c r="O130" s="135">
        <f>IF(O7&gt;=O8,"OK","BŁĄD")</f>
        <v>0</v>
      </c>
      <c r="P130" s="135">
        <f>IF(P7&gt;=P8,"OK","BŁĄD")</f>
        <v>0</v>
      </c>
      <c r="Q130" s="135">
        <f>IF(Q7&gt;=Q8,"OK","BŁĄD")</f>
        <v>0</v>
      </c>
    </row>
    <row r="131" spans="2:17" ht="14.25" outlineLevel="2">
      <c r="B131" s="128" t="s">
        <v>311</v>
      </c>
      <c r="C131" s="129" t="s">
        <v>311</v>
      </c>
      <c r="D131" s="142" t="s">
        <v>312</v>
      </c>
      <c r="E131" s="131" t="s">
        <v>8</v>
      </c>
      <c r="F131" s="132" t="s">
        <v>8</v>
      </c>
      <c r="G131" s="132" t="s">
        <v>8</v>
      </c>
      <c r="H131" s="133" t="s">
        <v>8</v>
      </c>
      <c r="I131" s="134">
        <f>IF(I10&gt;=I90,"OK","BŁĄD")</f>
        <v>0</v>
      </c>
      <c r="J131" s="135">
        <f>IF(J10&gt;=J90,"OK","BŁĄD")</f>
        <v>0</v>
      </c>
      <c r="K131" s="135">
        <f>IF(K10&gt;=K90,"OK","BŁĄD")</f>
        <v>0</v>
      </c>
      <c r="L131" s="135">
        <f>IF(L10&gt;=L90,"OK","BŁĄD")</f>
        <v>0</v>
      </c>
      <c r="M131" s="135">
        <f>IF(M10&gt;=M90,"OK","BŁĄD")</f>
        <v>0</v>
      </c>
      <c r="N131" s="135">
        <f>IF(N10&gt;=N90,"OK","BŁĄD")</f>
        <v>0</v>
      </c>
      <c r="O131" s="135">
        <f>IF(O10&gt;=O90,"OK","BŁĄD")</f>
        <v>0</v>
      </c>
      <c r="P131" s="135">
        <f>IF(P10&gt;=P90,"OK","BŁĄD")</f>
        <v>0</v>
      </c>
      <c r="Q131" s="135">
        <f>IF(Q10&gt;=Q90,"OK","BŁĄD")</f>
        <v>0</v>
      </c>
    </row>
    <row r="132" spans="2:17" ht="14.25" outlineLevel="2">
      <c r="B132" s="128" t="s">
        <v>313</v>
      </c>
      <c r="C132" s="129" t="s">
        <v>313</v>
      </c>
      <c r="D132" s="142" t="s">
        <v>314</v>
      </c>
      <c r="E132" s="131" t="s">
        <v>8</v>
      </c>
      <c r="F132" s="132" t="s">
        <v>8</v>
      </c>
      <c r="G132" s="132" t="s">
        <v>8</v>
      </c>
      <c r="H132" s="133" t="s">
        <v>8</v>
      </c>
      <c r="I132" s="134">
        <f>IF(I4&gt;=I5+I6+I7+I9+I10,"OK","BŁĄD")</f>
        <v>0</v>
      </c>
      <c r="J132" s="135">
        <f>IF(J4&gt;=J5+J6+J7+J9+J10,"OK","BŁĄD")</f>
        <v>0</v>
      </c>
      <c r="K132" s="135">
        <f>IF(K4&gt;=K5+K6+K7+K9+K10,"OK","BŁĄD")</f>
        <v>0</v>
      </c>
      <c r="L132" s="135">
        <f>IF(L4&gt;=L5+L6+L7+L9+L10,"OK","BŁĄD")</f>
        <v>0</v>
      </c>
      <c r="M132" s="135">
        <f>IF(M4&gt;=M5+M6+M7+M9+M10,"OK","BŁĄD")</f>
        <v>0</v>
      </c>
      <c r="N132" s="135">
        <f>IF(N4&gt;=N5+N6+N7+N9+N10,"OK","BŁĄD")</f>
        <v>0</v>
      </c>
      <c r="O132" s="135">
        <f>IF(O4&gt;=O5+O6+O7+O9+O10,"OK","BŁĄD")</f>
        <v>0</v>
      </c>
      <c r="P132" s="135">
        <f>IF(P4&gt;=P5+P6+P7+P9+P10,"OK","BŁĄD")</f>
        <v>0</v>
      </c>
      <c r="Q132" s="135">
        <f>IF(Q4&gt;=Q5+Q6+Q7+Q9+Q10,"OK","BŁĄD")</f>
        <v>0</v>
      </c>
    </row>
    <row r="133" spans="2:17" ht="14.25" outlineLevel="2">
      <c r="B133" s="128" t="s">
        <v>315</v>
      </c>
      <c r="C133" s="129" t="s">
        <v>315</v>
      </c>
      <c r="D133" s="142" t="s">
        <v>316</v>
      </c>
      <c r="E133" s="131" t="s">
        <v>8</v>
      </c>
      <c r="F133" s="132" t="s">
        <v>8</v>
      </c>
      <c r="G133" s="132" t="s">
        <v>8</v>
      </c>
      <c r="H133" s="133" t="s">
        <v>8</v>
      </c>
      <c r="I133" s="134">
        <f>IF(I4&gt;=I68,"OK","BŁĄD")</f>
        <v>0</v>
      </c>
      <c r="J133" s="135">
        <f>IF(J4&gt;=J68,"OK","BŁĄD")</f>
        <v>0</v>
      </c>
      <c r="K133" s="135">
        <f>IF(K4&gt;=K68,"OK","BŁĄD")</f>
        <v>0</v>
      </c>
      <c r="L133" s="135">
        <f>IF(L4&gt;=L68,"OK","BŁĄD")</f>
        <v>0</v>
      </c>
      <c r="M133" s="135">
        <f>IF(M4&gt;=M68,"OK","BŁĄD")</f>
        <v>0</v>
      </c>
      <c r="N133" s="135">
        <f>IF(N4&gt;=N68,"OK","BŁĄD")</f>
        <v>0</v>
      </c>
      <c r="O133" s="135">
        <f>IF(O4&gt;=O68,"OK","BŁĄD")</f>
        <v>0</v>
      </c>
      <c r="P133" s="135">
        <f>IF(P4&gt;=P68,"OK","BŁĄD")</f>
        <v>0</v>
      </c>
      <c r="Q133" s="135">
        <f>IF(Q4&gt;=Q68,"OK","BŁĄD")</f>
        <v>0</v>
      </c>
    </row>
    <row r="134" spans="2:17" ht="14.25" outlineLevel="2">
      <c r="B134" s="128" t="s">
        <v>317</v>
      </c>
      <c r="C134" s="129" t="s">
        <v>317</v>
      </c>
      <c r="D134" s="142" t="s">
        <v>318</v>
      </c>
      <c r="E134" s="131" t="s">
        <v>8</v>
      </c>
      <c r="F134" s="132" t="s">
        <v>8</v>
      </c>
      <c r="G134" s="132" t="s">
        <v>8</v>
      </c>
      <c r="H134" s="133" t="s">
        <v>8</v>
      </c>
      <c r="I134" s="134">
        <f>IF(I11&gt;=I12,"OK","BŁĄD")</f>
        <v>0</v>
      </c>
      <c r="J134" s="135">
        <f>IF(J11&gt;=J12,"OK","BŁĄD")</f>
        <v>0</v>
      </c>
      <c r="K134" s="135">
        <f>IF(K11&gt;=K12,"OK","BŁĄD")</f>
        <v>0</v>
      </c>
      <c r="L134" s="135">
        <f>IF(L11&gt;=L12,"OK","BŁĄD")</f>
        <v>0</v>
      </c>
      <c r="M134" s="135">
        <f>IF(M11&gt;=M12,"OK","BŁĄD")</f>
        <v>0</v>
      </c>
      <c r="N134" s="135">
        <f>IF(N11&gt;=N12,"OK","BŁĄD")</f>
        <v>0</v>
      </c>
      <c r="O134" s="135">
        <f>IF(O11&gt;=O12,"OK","BŁĄD")</f>
        <v>0</v>
      </c>
      <c r="P134" s="135">
        <f>IF(P11&gt;=P12,"OK","BŁĄD")</f>
        <v>0</v>
      </c>
      <c r="Q134" s="135">
        <f>IF(Q11&gt;=Q12,"OK","BŁĄD")</f>
        <v>0</v>
      </c>
    </row>
    <row r="135" spans="2:17" ht="14.25" outlineLevel="2">
      <c r="B135" s="128" t="s">
        <v>319</v>
      </c>
      <c r="C135" s="129" t="s">
        <v>319</v>
      </c>
      <c r="D135" s="142" t="s">
        <v>320</v>
      </c>
      <c r="E135" s="131" t="s">
        <v>8</v>
      </c>
      <c r="F135" s="132" t="s">
        <v>8</v>
      </c>
      <c r="G135" s="132" t="s">
        <v>8</v>
      </c>
      <c r="H135" s="133" t="s">
        <v>8</v>
      </c>
      <c r="I135" s="134">
        <f>IF(I11&gt;=I13,"OK","BŁĄD")</f>
        <v>0</v>
      </c>
      <c r="J135" s="135">
        <f>IF(J11&gt;=J13,"OK","BŁĄD")</f>
        <v>0</v>
      </c>
      <c r="K135" s="135">
        <f>IF(K11&gt;=K13,"OK","BŁĄD")</f>
        <v>0</v>
      </c>
      <c r="L135" s="135">
        <f>IF(L11&gt;=L13,"OK","BŁĄD")</f>
        <v>0</v>
      </c>
      <c r="M135" s="135">
        <f>IF(M11&gt;=M13,"OK","BŁĄD")</f>
        <v>0</v>
      </c>
      <c r="N135" s="135">
        <f>IF(N11&gt;=N13,"OK","BŁĄD")</f>
        <v>0</v>
      </c>
      <c r="O135" s="135">
        <f>IF(O11&gt;=O13,"OK","BŁĄD")</f>
        <v>0</v>
      </c>
      <c r="P135" s="135">
        <f>IF(P11&gt;=P13,"OK","BŁĄD")</f>
        <v>0</v>
      </c>
      <c r="Q135" s="135">
        <f>IF(Q11&gt;=Q13,"OK","BŁĄD")</f>
        <v>0</v>
      </c>
    </row>
    <row r="136" spans="2:17" ht="14.25" outlineLevel="2">
      <c r="B136" s="128" t="s">
        <v>321</v>
      </c>
      <c r="C136" s="129" t="s">
        <v>321</v>
      </c>
      <c r="D136" s="142" t="s">
        <v>322</v>
      </c>
      <c r="E136" s="131" t="s">
        <v>8</v>
      </c>
      <c r="F136" s="132" t="s">
        <v>8</v>
      </c>
      <c r="G136" s="132" t="s">
        <v>8</v>
      </c>
      <c r="H136" s="133" t="s">
        <v>8</v>
      </c>
      <c r="I136" s="134">
        <f>IF(I11&gt;=I71,"OK","BŁĄD")</f>
        <v>0</v>
      </c>
      <c r="J136" s="135">
        <f>IF(J11&gt;=J71,"OK","BŁĄD")</f>
        <v>0</v>
      </c>
      <c r="K136" s="135">
        <f>IF(K11&gt;=K71,"OK","BŁĄD")</f>
        <v>0</v>
      </c>
      <c r="L136" s="135">
        <f>IF(L11&gt;=L71,"OK","BŁĄD")</f>
        <v>0</v>
      </c>
      <c r="M136" s="135">
        <f>IF(M11&gt;=M71,"OK","BŁĄD")</f>
        <v>0</v>
      </c>
      <c r="N136" s="135">
        <f>IF(N11&gt;=N71,"OK","BŁĄD")</f>
        <v>0</v>
      </c>
      <c r="O136" s="135">
        <f>IF(O11&gt;=O71,"OK","BŁĄD")</f>
        <v>0</v>
      </c>
      <c r="P136" s="135">
        <f>IF(P11&gt;=P71,"OK","BŁĄD")</f>
        <v>0</v>
      </c>
      <c r="Q136" s="135">
        <f>IF(Q11&gt;=Q71,"OK","BŁĄD")</f>
        <v>0</v>
      </c>
    </row>
    <row r="137" spans="2:17" ht="14.25" outlineLevel="2">
      <c r="B137" s="128"/>
      <c r="C137" s="129"/>
      <c r="D137" s="142" t="s">
        <v>323</v>
      </c>
      <c r="E137" s="131" t="s">
        <v>8</v>
      </c>
      <c r="F137" s="132" t="s">
        <v>8</v>
      </c>
      <c r="G137" s="132" t="s">
        <v>8</v>
      </c>
      <c r="H137" s="133" t="s">
        <v>8</v>
      </c>
      <c r="I137" s="134">
        <f>+IF(I24&gt;0,IF(I24=I56,"OK","Błąd"),"N/D")</f>
        <v>0</v>
      </c>
      <c r="J137" s="134">
        <f>+IF(J24&gt;0,IF(J24=J56,"OK","Błąd"),"N/D")</f>
        <v>0</v>
      </c>
      <c r="K137" s="134">
        <f>+IF(K24&gt;0,IF(K24=K56,"OK","Błąd"),"N/D")</f>
        <v>0</v>
      </c>
      <c r="L137" s="134">
        <f>+IF(L24&gt;0,IF(L24=L56,"OK","Błąd"),"N/D")</f>
        <v>0</v>
      </c>
      <c r="M137" s="134">
        <f>+IF(M24&gt;0,IF(M24=M56,"OK","Błąd"),"N/D")</f>
        <v>0</v>
      </c>
      <c r="N137" s="134">
        <f>+IF(N24&gt;0,IF(N24=N56,"OK","Błąd"),"N/D")</f>
        <v>0</v>
      </c>
      <c r="O137" s="134">
        <f>+IF(O24&gt;0,IF(O24=O56,"OK","Błąd"),"N/D")</f>
        <v>0</v>
      </c>
      <c r="P137" s="134">
        <f>+IF(P24&gt;0,IF(P24=P56,"OK","Błąd"),"N/D")</f>
        <v>0</v>
      </c>
      <c r="Q137" s="134">
        <f>+IF(Q24&gt;0,IF(Q24=Q56,"OK","Błąd"),"N/D")</f>
        <v>0</v>
      </c>
    </row>
    <row r="138" spans="2:17" ht="14.25" outlineLevel="2">
      <c r="B138" s="128" t="s">
        <v>324</v>
      </c>
      <c r="C138" s="129" t="s">
        <v>324</v>
      </c>
      <c r="D138" s="142" t="s">
        <v>325</v>
      </c>
      <c r="E138" s="131" t="s">
        <v>8</v>
      </c>
      <c r="F138" s="132" t="s">
        <v>8</v>
      </c>
      <c r="G138" s="132" t="s">
        <v>8</v>
      </c>
      <c r="H138" s="133" t="s">
        <v>8</v>
      </c>
      <c r="I138" s="134">
        <f>IF(I56&gt;=I57,"OK","BŁĄD")</f>
        <v>0</v>
      </c>
      <c r="J138" s="135">
        <f>IF(J56&gt;=J57,"OK","BŁĄD")</f>
        <v>0</v>
      </c>
      <c r="K138" s="135">
        <f>IF(K56&gt;=K57,"OK","BŁĄD")</f>
        <v>0</v>
      </c>
      <c r="L138" s="135">
        <f>IF(L56&gt;=L57,"OK","BŁĄD")</f>
        <v>0</v>
      </c>
      <c r="M138" s="135">
        <f>IF(M56&gt;=M57,"OK","BŁĄD")</f>
        <v>0</v>
      </c>
      <c r="N138" s="135">
        <f>IF(N56&gt;=N57,"OK","BŁĄD")</f>
        <v>0</v>
      </c>
      <c r="O138" s="135">
        <f>IF(O56&gt;=O57,"OK","BŁĄD")</f>
        <v>0</v>
      </c>
      <c r="P138" s="135">
        <f>IF(P56&gt;=P57,"OK","BŁĄD")</f>
        <v>0</v>
      </c>
      <c r="Q138" s="135">
        <f>IF(Q56&gt;=Q57,"OK","BŁĄD")</f>
        <v>0</v>
      </c>
    </row>
    <row r="139" spans="2:17" ht="14.25" outlineLevel="2">
      <c r="B139" s="128"/>
      <c r="C139" s="129" t="s">
        <v>326</v>
      </c>
      <c r="D139" s="142" t="s">
        <v>327</v>
      </c>
      <c r="E139" s="131" t="s">
        <v>8</v>
      </c>
      <c r="F139" s="132" t="s">
        <v>8</v>
      </c>
      <c r="G139" s="132" t="s">
        <v>8</v>
      </c>
      <c r="H139" s="133" t="s">
        <v>8</v>
      </c>
      <c r="I139" s="134">
        <f>IF(I56&gt;0,IF(I57&gt;0,"OK","BŁĄD"),"N/D")</f>
        <v>0</v>
      </c>
      <c r="J139" s="135">
        <f>IF(J56&gt;0,IF(J57&gt;0,"OK","BŁĄD"),"N/D")</f>
        <v>0</v>
      </c>
      <c r="K139" s="135">
        <f>IF(K56&gt;0,IF(K57&gt;0,"OK","BŁĄD"),"N/D")</f>
        <v>0</v>
      </c>
      <c r="L139" s="135">
        <f>IF(L56&gt;0,IF(L57&gt;0,"OK","BŁĄD"),"N/D")</f>
        <v>0</v>
      </c>
      <c r="M139" s="135">
        <f>IF(M56&gt;0,IF(M57&gt;0,"OK","BŁĄD"),"N/D")</f>
        <v>0</v>
      </c>
      <c r="N139" s="135">
        <f>IF(N56&gt;0,IF(N57&gt;0,"OK","BŁĄD"),"N/D")</f>
        <v>0</v>
      </c>
      <c r="O139" s="135">
        <f>IF(O56&gt;0,IF(O57&gt;0,"OK","BŁĄD"),"N/D")</f>
        <v>0</v>
      </c>
      <c r="P139" s="135">
        <f>IF(P56&gt;0,IF(P57&gt;0,"OK","BŁĄD"),"N/D")</f>
        <v>0</v>
      </c>
      <c r="Q139" s="135">
        <f>IF(Q56&gt;0,IF(Q57&gt;0,"OK","BŁĄD"),"N/D")</f>
        <v>0</v>
      </c>
    </row>
    <row r="140" spans="2:17" ht="14.25" outlineLevel="2">
      <c r="B140" s="128" t="s">
        <v>328</v>
      </c>
      <c r="C140" s="129" t="s">
        <v>328</v>
      </c>
      <c r="D140" s="142" t="s">
        <v>329</v>
      </c>
      <c r="E140" s="131" t="s">
        <v>8</v>
      </c>
      <c r="F140" s="132" t="s">
        <v>8</v>
      </c>
      <c r="G140" s="132" t="s">
        <v>8</v>
      </c>
      <c r="H140" s="133" t="s">
        <v>8</v>
      </c>
      <c r="I140" s="134">
        <f aca="true" t="shared" si="209" ref="I140:I141">IF(I68&gt;=I69,"OK","BŁĄD")</f>
        <v>0</v>
      </c>
      <c r="J140" s="135">
        <f aca="true" t="shared" si="210" ref="J140:J141">IF(J68&gt;=J69,"OK","BŁĄD")</f>
        <v>0</v>
      </c>
      <c r="K140" s="135">
        <f aca="true" t="shared" si="211" ref="K140:K141">IF(K68&gt;=K69,"OK","BŁĄD")</f>
        <v>0</v>
      </c>
      <c r="L140" s="135">
        <f aca="true" t="shared" si="212" ref="L140:L141">IF(L68&gt;=L69,"OK","BŁĄD")</f>
        <v>0</v>
      </c>
      <c r="M140" s="135">
        <f aca="true" t="shared" si="213" ref="M140:M141">IF(M68&gt;=M69,"OK","BŁĄD")</f>
        <v>0</v>
      </c>
      <c r="N140" s="135">
        <f aca="true" t="shared" si="214" ref="N140:N141">IF(N68&gt;=N69,"OK","BŁĄD")</f>
        <v>0</v>
      </c>
      <c r="O140" s="135">
        <f aca="true" t="shared" si="215" ref="O140:O141">IF(O68&gt;=O69,"OK","BŁĄD")</f>
        <v>0</v>
      </c>
      <c r="P140" s="135">
        <f aca="true" t="shared" si="216" ref="P140:P141">IF(P68&gt;=P69,"OK","BŁĄD")</f>
        <v>0</v>
      </c>
      <c r="Q140" s="135">
        <f aca="true" t="shared" si="217" ref="Q140:Q141">IF(Q68&gt;=Q69,"OK","BŁĄD")</f>
        <v>0</v>
      </c>
    </row>
    <row r="141" spans="2:17" ht="14.25" outlineLevel="2">
      <c r="B141" s="128" t="s">
        <v>330</v>
      </c>
      <c r="C141" s="129" t="s">
        <v>330</v>
      </c>
      <c r="D141" s="142" t="s">
        <v>331</v>
      </c>
      <c r="E141" s="131" t="s">
        <v>8</v>
      </c>
      <c r="F141" s="132" t="s">
        <v>8</v>
      </c>
      <c r="G141" s="132" t="s">
        <v>8</v>
      </c>
      <c r="H141" s="133" t="s">
        <v>8</v>
      </c>
      <c r="I141" s="134">
        <f t="shared" si="209"/>
        <v>0</v>
      </c>
      <c r="J141" s="135">
        <f t="shared" si="210"/>
        <v>0</v>
      </c>
      <c r="K141" s="135">
        <f t="shared" si="211"/>
        <v>0</v>
      </c>
      <c r="L141" s="135">
        <f t="shared" si="212"/>
        <v>0</v>
      </c>
      <c r="M141" s="135">
        <f t="shared" si="213"/>
        <v>0</v>
      </c>
      <c r="N141" s="135">
        <f t="shared" si="214"/>
        <v>0</v>
      </c>
      <c r="O141" s="135">
        <f t="shared" si="215"/>
        <v>0</v>
      </c>
      <c r="P141" s="135">
        <f t="shared" si="216"/>
        <v>0</v>
      </c>
      <c r="Q141" s="135">
        <f t="shared" si="217"/>
        <v>0</v>
      </c>
    </row>
    <row r="142" spans="2:17" ht="14.25" outlineLevel="2">
      <c r="B142" s="128" t="s">
        <v>332</v>
      </c>
      <c r="C142" s="129" t="s">
        <v>332</v>
      </c>
      <c r="D142" s="142" t="s">
        <v>333</v>
      </c>
      <c r="E142" s="131" t="s">
        <v>8</v>
      </c>
      <c r="F142" s="132" t="s">
        <v>8</v>
      </c>
      <c r="G142" s="132" t="s">
        <v>8</v>
      </c>
      <c r="H142" s="133" t="s">
        <v>8</v>
      </c>
      <c r="I142" s="134">
        <f aca="true" t="shared" si="218" ref="I142:I143">IF(I71&gt;=I72,"OK","BŁĄD")</f>
        <v>0</v>
      </c>
      <c r="J142" s="135">
        <f aca="true" t="shared" si="219" ref="J142:J143">IF(J71&gt;=J72,"OK","BŁĄD")</f>
        <v>0</v>
      </c>
      <c r="K142" s="135">
        <f aca="true" t="shared" si="220" ref="K142:K143">IF(K71&gt;=K72,"OK","BŁĄD")</f>
        <v>0</v>
      </c>
      <c r="L142" s="135">
        <f aca="true" t="shared" si="221" ref="L142:L143">IF(L71&gt;=L72,"OK","BŁĄD")</f>
        <v>0</v>
      </c>
      <c r="M142" s="135">
        <f aca="true" t="shared" si="222" ref="M142:M143">IF(M71&gt;=M72,"OK","BŁĄD")</f>
        <v>0</v>
      </c>
      <c r="N142" s="135">
        <f aca="true" t="shared" si="223" ref="N142:N143">IF(N71&gt;=N72,"OK","BŁĄD")</f>
        <v>0</v>
      </c>
      <c r="O142" s="135">
        <f aca="true" t="shared" si="224" ref="O142:O143">IF(O71&gt;=O72,"OK","BŁĄD")</f>
        <v>0</v>
      </c>
      <c r="P142" s="135">
        <f aca="true" t="shared" si="225" ref="P142:P143">IF(P71&gt;=P72,"OK","BŁĄD")</f>
        <v>0</v>
      </c>
      <c r="Q142" s="135">
        <f aca="true" t="shared" si="226" ref="Q142:Q143">IF(Q71&gt;=Q72,"OK","BŁĄD")</f>
        <v>0</v>
      </c>
    </row>
    <row r="143" spans="2:17" ht="14.25" outlineLevel="2">
      <c r="B143" s="128" t="s">
        <v>334</v>
      </c>
      <c r="C143" s="129" t="s">
        <v>334</v>
      </c>
      <c r="D143" s="142" t="s">
        <v>335</v>
      </c>
      <c r="E143" s="131" t="s">
        <v>8</v>
      </c>
      <c r="F143" s="132" t="s">
        <v>8</v>
      </c>
      <c r="G143" s="132" t="s">
        <v>8</v>
      </c>
      <c r="H143" s="133" t="s">
        <v>8</v>
      </c>
      <c r="I143" s="134">
        <f t="shared" si="218"/>
        <v>0</v>
      </c>
      <c r="J143" s="135">
        <f t="shared" si="219"/>
        <v>0</v>
      </c>
      <c r="K143" s="135">
        <f t="shared" si="220"/>
        <v>0</v>
      </c>
      <c r="L143" s="135">
        <f t="shared" si="221"/>
        <v>0</v>
      </c>
      <c r="M143" s="135">
        <f t="shared" si="222"/>
        <v>0</v>
      </c>
      <c r="N143" s="135">
        <f t="shared" si="223"/>
        <v>0</v>
      </c>
      <c r="O143" s="135">
        <f t="shared" si="224"/>
        <v>0</v>
      </c>
      <c r="P143" s="135">
        <f t="shared" si="225"/>
        <v>0</v>
      </c>
      <c r="Q143" s="135">
        <f t="shared" si="226"/>
        <v>0</v>
      </c>
    </row>
    <row r="144" spans="2:17" ht="14.25" outlineLevel="2">
      <c r="B144" s="128" t="s">
        <v>336</v>
      </c>
      <c r="C144" s="129" t="s">
        <v>336</v>
      </c>
      <c r="D144" s="142" t="s">
        <v>337</v>
      </c>
      <c r="E144" s="131" t="s">
        <v>8</v>
      </c>
      <c r="F144" s="132" t="s">
        <v>8</v>
      </c>
      <c r="G144" s="132" t="s">
        <v>8</v>
      </c>
      <c r="H144" s="133" t="s">
        <v>8</v>
      </c>
      <c r="I144" s="134">
        <f>IF(I74&gt;=I75,"OK","BŁĄD")</f>
        <v>0</v>
      </c>
      <c r="J144" s="135">
        <f>IF(J74&gt;=J75,"OK","BŁĄD")</f>
        <v>0</v>
      </c>
      <c r="K144" s="135">
        <f>IF(K74&gt;=K75,"OK","BŁĄD")</f>
        <v>0</v>
      </c>
      <c r="L144" s="135">
        <f>IF(L74&gt;=L75,"OK","BŁĄD")</f>
        <v>0</v>
      </c>
      <c r="M144" s="135">
        <f>IF(M74&gt;=M75,"OK","BŁĄD")</f>
        <v>0</v>
      </c>
      <c r="N144" s="135">
        <f>IF(N74&gt;=N75,"OK","BŁĄD")</f>
        <v>0</v>
      </c>
      <c r="O144" s="135">
        <f>IF(O74&gt;=O75,"OK","BŁĄD")</f>
        <v>0</v>
      </c>
      <c r="P144" s="135">
        <f>IF(P74&gt;=P75,"OK","BŁĄD")</f>
        <v>0</v>
      </c>
      <c r="Q144" s="135">
        <f>IF(Q74&gt;=Q75,"OK","BŁĄD")</f>
        <v>0</v>
      </c>
    </row>
    <row r="145" spans="2:17" ht="14.25" outlineLevel="2">
      <c r="B145" s="128" t="s">
        <v>338</v>
      </c>
      <c r="C145" s="129" t="s">
        <v>338</v>
      </c>
      <c r="D145" s="142" t="s">
        <v>339</v>
      </c>
      <c r="E145" s="131" t="s">
        <v>8</v>
      </c>
      <c r="F145" s="132" t="s">
        <v>8</v>
      </c>
      <c r="G145" s="132" t="s">
        <v>8</v>
      </c>
      <c r="H145" s="133" t="s">
        <v>8</v>
      </c>
      <c r="I145" s="134">
        <f>IF(I74&gt;=I76,"OK","BŁĄD")</f>
        <v>0</v>
      </c>
      <c r="J145" s="135">
        <f>IF(J74&gt;=J76,"OK","BŁĄD")</f>
        <v>0</v>
      </c>
      <c r="K145" s="135">
        <f>IF(K74&gt;=K76,"OK","BŁĄD")</f>
        <v>0</v>
      </c>
      <c r="L145" s="135">
        <f>IF(L74&gt;=L76,"OK","BŁĄD")</f>
        <v>0</v>
      </c>
      <c r="M145" s="135">
        <f>IF(M74&gt;=M76,"OK","BŁĄD")</f>
        <v>0</v>
      </c>
      <c r="N145" s="135">
        <f>IF(N74&gt;=N76,"OK","BŁĄD")</f>
        <v>0</v>
      </c>
      <c r="O145" s="135">
        <f>IF(O74&gt;=O76,"OK","BŁĄD")</f>
        <v>0</v>
      </c>
      <c r="P145" s="135">
        <f>IF(P74&gt;=P76,"OK","BŁĄD")</f>
        <v>0</v>
      </c>
      <c r="Q145" s="135">
        <f>IF(Q74&gt;=Q76,"OK","BŁĄD")</f>
        <v>0</v>
      </c>
    </row>
    <row r="146" spans="2:17" ht="14.25" outlineLevel="2">
      <c r="B146" s="128" t="s">
        <v>340</v>
      </c>
      <c r="C146" s="129" t="s">
        <v>340</v>
      </c>
      <c r="D146" s="142" t="s">
        <v>341</v>
      </c>
      <c r="E146" s="131" t="s">
        <v>8</v>
      </c>
      <c r="F146" s="132" t="s">
        <v>8</v>
      </c>
      <c r="G146" s="132" t="s">
        <v>8</v>
      </c>
      <c r="H146" s="133" t="s">
        <v>8</v>
      </c>
      <c r="I146" s="134">
        <f>IF(I77&gt;=I78,"OK","BŁĄD")</f>
        <v>0</v>
      </c>
      <c r="J146" s="135">
        <f>IF(J77&gt;=J78,"OK","BŁĄD")</f>
        <v>0</v>
      </c>
      <c r="K146" s="135">
        <f>IF(K77&gt;=K78,"OK","BŁĄD")</f>
        <v>0</v>
      </c>
      <c r="L146" s="135">
        <f>IF(L77&gt;=L78,"OK","BŁĄD")</f>
        <v>0</v>
      </c>
      <c r="M146" s="135">
        <f>IF(M77&gt;=M78,"OK","BŁĄD")</f>
        <v>0</v>
      </c>
      <c r="N146" s="135">
        <f>IF(N77&gt;=N78,"OK","BŁĄD")</f>
        <v>0</v>
      </c>
      <c r="O146" s="135">
        <f>IF(O77&gt;=O78,"OK","BŁĄD")</f>
        <v>0</v>
      </c>
      <c r="P146" s="135">
        <f>IF(P77&gt;=P78,"OK","BŁĄD")</f>
        <v>0</v>
      </c>
      <c r="Q146" s="135">
        <f>IF(Q77&gt;=Q78,"OK","BŁĄD")</f>
        <v>0</v>
      </c>
    </row>
    <row r="147" spans="2:17" ht="14.25" outlineLevel="2">
      <c r="B147" s="128" t="s">
        <v>342</v>
      </c>
      <c r="C147" s="129" t="s">
        <v>342</v>
      </c>
      <c r="D147" s="142" t="s">
        <v>343</v>
      </c>
      <c r="E147" s="131" t="s">
        <v>8</v>
      </c>
      <c r="F147" s="132" t="s">
        <v>8</v>
      </c>
      <c r="G147" s="132" t="s">
        <v>8</v>
      </c>
      <c r="H147" s="133" t="s">
        <v>8</v>
      </c>
      <c r="I147" s="134">
        <f>IF(I77&gt;=I79,"OK","BŁĄD")</f>
        <v>0</v>
      </c>
      <c r="J147" s="135">
        <f>IF(J77&gt;=J79,"OK","BŁĄD")</f>
        <v>0</v>
      </c>
      <c r="K147" s="135">
        <f>IF(K77&gt;=K79,"OK","BŁĄD")</f>
        <v>0</v>
      </c>
      <c r="L147" s="135">
        <f>IF(L77&gt;=L79,"OK","BŁĄD")</f>
        <v>0</v>
      </c>
      <c r="M147" s="135">
        <f>IF(M77&gt;=M79,"OK","BŁĄD")</f>
        <v>0</v>
      </c>
      <c r="N147" s="135">
        <f>IF(N77&gt;=N79,"OK","BŁĄD")</f>
        <v>0</v>
      </c>
      <c r="O147" s="135">
        <f>IF(O77&gt;=O79,"OK","BŁĄD")</f>
        <v>0</v>
      </c>
      <c r="P147" s="135">
        <f>IF(P77&gt;=P79,"OK","BŁĄD")</f>
        <v>0</v>
      </c>
      <c r="Q147" s="135">
        <f>IF(Q77&gt;=Q79,"OK","BŁĄD")</f>
        <v>0</v>
      </c>
    </row>
    <row r="148" spans="2:17" ht="14.25" outlineLevel="2">
      <c r="B148" s="128" t="s">
        <v>340</v>
      </c>
      <c r="C148" s="129" t="s">
        <v>340</v>
      </c>
      <c r="D148" s="142" t="s">
        <v>344</v>
      </c>
      <c r="E148" s="131" t="s">
        <v>8</v>
      </c>
      <c r="F148" s="132" t="s">
        <v>8</v>
      </c>
      <c r="G148" s="132" t="s">
        <v>8</v>
      </c>
      <c r="H148" s="133" t="s">
        <v>8</v>
      </c>
      <c r="I148" s="134">
        <f>IF(I80&gt;=I81,"OK","BŁĄD")</f>
        <v>0</v>
      </c>
      <c r="J148" s="135">
        <f>IF(J80&gt;=J81,"OK","BŁĄD")</f>
        <v>0</v>
      </c>
      <c r="K148" s="135">
        <f>IF(K80&gt;=K81,"OK","BŁĄD")</f>
        <v>0</v>
      </c>
      <c r="L148" s="135">
        <f>IF(L80&gt;=L81,"OK","BŁĄD")</f>
        <v>0</v>
      </c>
      <c r="M148" s="135">
        <f>IF(M80&gt;=M81,"OK","BŁĄD")</f>
        <v>0</v>
      </c>
      <c r="N148" s="135">
        <f>IF(N80&gt;=N81,"OK","BŁĄD")</f>
        <v>0</v>
      </c>
      <c r="O148" s="135">
        <f>IF(O80&gt;=O81,"OK","BŁĄD")</f>
        <v>0</v>
      </c>
      <c r="P148" s="135">
        <f>IF(P80&gt;=P81,"OK","BŁĄD")</f>
        <v>0</v>
      </c>
      <c r="Q148" s="135">
        <f>IF(Q80&gt;=Q81,"OK","BŁĄD")</f>
        <v>0</v>
      </c>
    </row>
    <row r="149" spans="2:17" ht="14.25" outlineLevel="2">
      <c r="B149" s="128" t="s">
        <v>340</v>
      </c>
      <c r="C149" s="129" t="s">
        <v>340</v>
      </c>
      <c r="D149" s="142" t="s">
        <v>345</v>
      </c>
      <c r="E149" s="131" t="s">
        <v>8</v>
      </c>
      <c r="F149" s="132" t="s">
        <v>8</v>
      </c>
      <c r="G149" s="132" t="s">
        <v>8</v>
      </c>
      <c r="H149" s="133" t="s">
        <v>8</v>
      </c>
      <c r="I149" s="134">
        <f>IF(I82&gt;=I83,"OK","BŁĄD")</f>
        <v>0</v>
      </c>
      <c r="J149" s="135">
        <f>IF(J82&gt;=J83,"OK","BŁĄD")</f>
        <v>0</v>
      </c>
      <c r="K149" s="135">
        <f>IF(K82&gt;=K83,"OK","BŁĄD")</f>
        <v>0</v>
      </c>
      <c r="L149" s="135">
        <f>IF(L82&gt;=L83,"OK","BŁĄD")</f>
        <v>0</v>
      </c>
      <c r="M149" s="135">
        <f>IF(M82&gt;=M83,"OK","BŁĄD")</f>
        <v>0</v>
      </c>
      <c r="N149" s="135">
        <f>IF(N82&gt;=N83,"OK","BŁĄD")</f>
        <v>0</v>
      </c>
      <c r="O149" s="135">
        <f>IF(O82&gt;=O83,"OK","BŁĄD")</f>
        <v>0</v>
      </c>
      <c r="P149" s="135">
        <f>IF(P82&gt;=P83,"OK","BŁĄD")</f>
        <v>0</v>
      </c>
      <c r="Q149" s="135">
        <f>IF(Q82&gt;=Q83,"OK","BŁĄD")</f>
        <v>0</v>
      </c>
    </row>
    <row r="150" spans="2:17" ht="14.25" outlineLevel="2">
      <c r="B150" s="128" t="s">
        <v>340</v>
      </c>
      <c r="C150" s="129" t="s">
        <v>340</v>
      </c>
      <c r="D150" s="142" t="s">
        <v>346</v>
      </c>
      <c r="E150" s="131" t="s">
        <v>8</v>
      </c>
      <c r="F150" s="132" t="s">
        <v>8</v>
      </c>
      <c r="G150" s="132" t="s">
        <v>8</v>
      </c>
      <c r="H150" s="133" t="s">
        <v>8</v>
      </c>
      <c r="I150" s="134">
        <f>IF(I84&gt;=I85,"OK","BŁĄD")</f>
        <v>0</v>
      </c>
      <c r="J150" s="135">
        <f>IF(J84&gt;=J85,"OK","BŁĄD")</f>
        <v>0</v>
      </c>
      <c r="K150" s="135">
        <f>IF(K84&gt;=K85,"OK","BŁĄD")</f>
        <v>0</v>
      </c>
      <c r="L150" s="135">
        <f>IF(L84&gt;=L85,"OK","BŁĄD")</f>
        <v>0</v>
      </c>
      <c r="M150" s="135">
        <f>IF(M84&gt;=M85,"OK","BŁĄD")</f>
        <v>0</v>
      </c>
      <c r="N150" s="135">
        <f>IF(N84&gt;=N85,"OK","BŁĄD")</f>
        <v>0</v>
      </c>
      <c r="O150" s="135">
        <f>IF(O84&gt;=O85,"OK","BŁĄD")</f>
        <v>0</v>
      </c>
      <c r="P150" s="135">
        <f>IF(P84&gt;=P85,"OK","BŁĄD")</f>
        <v>0</v>
      </c>
      <c r="Q150" s="135">
        <f>IF(Q84&gt;=Q85,"OK","BŁĄD")</f>
        <v>0</v>
      </c>
    </row>
    <row r="151" spans="2:17" ht="14.25" outlineLevel="2">
      <c r="B151" s="128" t="s">
        <v>340</v>
      </c>
      <c r="C151" s="129" t="s">
        <v>340</v>
      </c>
      <c r="D151" s="142" t="s">
        <v>347</v>
      </c>
      <c r="E151" s="131" t="s">
        <v>8</v>
      </c>
      <c r="F151" s="132" t="s">
        <v>8</v>
      </c>
      <c r="G151" s="132" t="s">
        <v>8</v>
      </c>
      <c r="H151" s="133" t="s">
        <v>8</v>
      </c>
      <c r="I151" s="134">
        <f>IF(I86&gt;=I87,"OK","BŁĄD")</f>
        <v>0</v>
      </c>
      <c r="J151" s="135">
        <f>IF(J86&gt;=J87,"OK","BŁĄD")</f>
        <v>0</v>
      </c>
      <c r="K151" s="135">
        <f>IF(K86&gt;=K87,"OK","BŁĄD")</f>
        <v>0</v>
      </c>
      <c r="L151" s="135">
        <f>IF(L86&gt;=L87,"OK","BŁĄD")</f>
        <v>0</v>
      </c>
      <c r="M151" s="135">
        <f>IF(M86&gt;=M87,"OK","BŁĄD")</f>
        <v>0</v>
      </c>
      <c r="N151" s="135">
        <f>IF(N86&gt;=N87,"OK","BŁĄD")</f>
        <v>0</v>
      </c>
      <c r="O151" s="135">
        <f>IF(O86&gt;=O87,"OK","BŁĄD")</f>
        <v>0</v>
      </c>
      <c r="P151" s="135">
        <f>IF(P86&gt;=P87,"OK","BŁĄD")</f>
        <v>0</v>
      </c>
      <c r="Q151" s="135">
        <f>IF(Q86&gt;=Q87,"OK","BŁĄD")</f>
        <v>0</v>
      </c>
    </row>
    <row r="152" spans="2:17" ht="14.25" outlineLevel="2">
      <c r="B152" s="128" t="s">
        <v>348</v>
      </c>
      <c r="C152" s="129" t="s">
        <v>348</v>
      </c>
      <c r="D152" s="142" t="s">
        <v>349</v>
      </c>
      <c r="E152" s="131" t="s">
        <v>8</v>
      </c>
      <c r="F152" s="132" t="s">
        <v>8</v>
      </c>
      <c r="G152" s="132" t="s">
        <v>8</v>
      </c>
      <c r="H152" s="133" t="s">
        <v>8</v>
      </c>
      <c r="I152" s="134">
        <f>IF(I89&gt;=I91,"OK","BŁĄD")</f>
        <v>0</v>
      </c>
      <c r="J152" s="135">
        <f>IF(J89&gt;=J91,"OK","BŁĄD")</f>
        <v>0</v>
      </c>
      <c r="K152" s="135">
        <f>IF(K89&gt;=K91,"OK","BŁĄD")</f>
        <v>0</v>
      </c>
      <c r="L152" s="135">
        <f>IF(L89&gt;=L91,"OK","BŁĄD")</f>
        <v>0</v>
      </c>
      <c r="M152" s="135">
        <f>IF(M89&gt;=M91,"OK","BŁĄD")</f>
        <v>0</v>
      </c>
      <c r="N152" s="135">
        <f>IF(N89&gt;=N91,"OK","BŁĄD")</f>
        <v>0</v>
      </c>
      <c r="O152" s="135">
        <f>IF(O89&gt;=O91,"OK","BŁĄD")</f>
        <v>0</v>
      </c>
      <c r="P152" s="135">
        <f>IF(P89&gt;=P91,"OK","BŁĄD")</f>
        <v>0</v>
      </c>
      <c r="Q152" s="135">
        <f>IF(Q89&gt;=Q91,"OK","BŁĄD")</f>
        <v>0</v>
      </c>
    </row>
    <row r="153" spans="2:17" ht="14.25" outlineLevel="2">
      <c r="B153" s="128" t="s">
        <v>350</v>
      </c>
      <c r="C153" s="129" t="s">
        <v>350</v>
      </c>
      <c r="D153" s="142" t="s">
        <v>351</v>
      </c>
      <c r="E153" s="131" t="s">
        <v>8</v>
      </c>
      <c r="F153" s="132" t="s">
        <v>8</v>
      </c>
      <c r="G153" s="132" t="s">
        <v>8</v>
      </c>
      <c r="H153" s="133" t="s">
        <v>8</v>
      </c>
      <c r="I153" s="134">
        <f>IF(I92&gt;=I18,"OK","BŁĄD")</f>
        <v>0</v>
      </c>
      <c r="J153" s="135">
        <f>IF(J92&gt;=J18,"OK","BŁĄD")</f>
        <v>0</v>
      </c>
      <c r="K153" s="135">
        <f>IF(K92&gt;=K18,"OK","BŁĄD")</f>
        <v>0</v>
      </c>
      <c r="L153" s="135">
        <f>IF(L92&gt;=L18,"OK","BŁĄD")</f>
        <v>0</v>
      </c>
      <c r="M153" s="135">
        <f>IF(M92&gt;=M18,"OK","BŁĄD")</f>
        <v>0</v>
      </c>
      <c r="N153" s="135">
        <f>IF(N92&gt;=N18,"OK","BŁĄD")</f>
        <v>0</v>
      </c>
      <c r="O153" s="135">
        <f>IF(O92&gt;=O18,"OK","BŁĄD")</f>
        <v>0</v>
      </c>
      <c r="P153" s="135">
        <f>IF(P92&gt;=P18,"OK","BŁĄD")</f>
        <v>0</v>
      </c>
      <c r="Q153" s="135">
        <f>IF(Q92&gt;=Q18,"OK","BŁĄD")</f>
        <v>0</v>
      </c>
    </row>
    <row r="154" spans="2:17" ht="14.25" outlineLevel="2">
      <c r="B154" s="128" t="s">
        <v>352</v>
      </c>
      <c r="C154" s="129" t="s">
        <v>352</v>
      </c>
      <c r="D154" s="142" t="s">
        <v>353</v>
      </c>
      <c r="E154" s="131" t="s">
        <v>8</v>
      </c>
      <c r="F154" s="132" t="s">
        <v>8</v>
      </c>
      <c r="G154" s="132" t="s">
        <v>8</v>
      </c>
      <c r="H154" s="133" t="s">
        <v>8</v>
      </c>
      <c r="I154" s="134">
        <f>IF(I99&gt;=(I100+I101+I102),"OK","BŁĄD")</f>
        <v>0</v>
      </c>
      <c r="J154" s="135">
        <f>IF(J99&gt;=(J100+J101+J102),"OK","BŁĄD")</f>
        <v>0</v>
      </c>
      <c r="K154" s="135">
        <f>IF(K99&gt;=(K100+K101+K102),"OK","BŁĄD")</f>
        <v>0</v>
      </c>
      <c r="L154" s="135">
        <f>IF(L99&gt;=(L100+L101+L102),"OK","BŁĄD")</f>
        <v>0</v>
      </c>
      <c r="M154" s="135">
        <f>IF(M99&gt;=(M100+M101+M102),"OK","BŁĄD")</f>
        <v>0</v>
      </c>
      <c r="N154" s="135">
        <f>IF(N99&gt;=(N100+N101+N102),"OK","BŁĄD")</f>
        <v>0</v>
      </c>
      <c r="O154" s="135">
        <f>IF(O99&gt;=(O100+O101+O102),"OK","BŁĄD")</f>
        <v>0</v>
      </c>
      <c r="P154" s="135">
        <f>IF(P99&gt;=(P100+P101+P102),"OK","BŁĄD")</f>
        <v>0</v>
      </c>
      <c r="Q154" s="135">
        <f>IF(Q99&gt;=(Q100+Q101+Q102),"OK","BŁĄD")</f>
        <v>0</v>
      </c>
    </row>
    <row r="155" spans="2:17" ht="14.25" outlineLevel="2">
      <c r="B155" s="128" t="s">
        <v>348</v>
      </c>
      <c r="C155" s="129" t="s">
        <v>348</v>
      </c>
      <c r="D155" s="142" t="s">
        <v>354</v>
      </c>
      <c r="E155" s="131" t="s">
        <v>8</v>
      </c>
      <c r="F155" s="132" t="s">
        <v>8</v>
      </c>
      <c r="G155" s="132" t="s">
        <v>8</v>
      </c>
      <c r="H155" s="133" t="s">
        <v>8</v>
      </c>
      <c r="I155" s="134">
        <f>IF(I105&gt;=I106,"OK","BŁĄD")</f>
        <v>0</v>
      </c>
      <c r="J155" s="135">
        <f>IF(J105&gt;=J106,"OK","BŁĄD")</f>
        <v>0</v>
      </c>
      <c r="K155" s="135">
        <f>IF(K105&gt;=K106,"OK","BŁĄD")</f>
        <v>0</v>
      </c>
      <c r="L155" s="135">
        <f>IF(L105&gt;=L106,"OK","BŁĄD")</f>
        <v>0</v>
      </c>
      <c r="M155" s="135">
        <f>IF(M105&gt;=M106,"OK","BŁĄD")</f>
        <v>0</v>
      </c>
      <c r="N155" s="135">
        <f>IF(N105&gt;=N106,"OK","BŁĄD")</f>
        <v>0</v>
      </c>
      <c r="O155" s="135">
        <f>IF(O105&gt;=O106,"OK","BŁĄD")</f>
        <v>0</v>
      </c>
      <c r="P155" s="135">
        <f>IF(P105&gt;=P106,"OK","BŁĄD")</f>
        <v>0</v>
      </c>
      <c r="Q155" s="135">
        <f>IF(Q105&gt;=Q106,"OK","BŁĄD")</f>
        <v>0</v>
      </c>
    </row>
    <row r="156" spans="2:17" ht="14.25" outlineLevel="2">
      <c r="B156" s="128" t="s">
        <v>355</v>
      </c>
      <c r="C156" s="129" t="s">
        <v>355</v>
      </c>
      <c r="D156" s="142" t="s">
        <v>356</v>
      </c>
      <c r="E156" s="131" t="s">
        <v>8</v>
      </c>
      <c r="F156" s="132" t="s">
        <v>8</v>
      </c>
      <c r="G156" s="132" t="s">
        <v>8</v>
      </c>
      <c r="H156" s="133" t="s">
        <v>8</v>
      </c>
      <c r="I156" s="134">
        <f>IF(I16&gt;=I17,"OK","BŁĄD")</f>
        <v>0</v>
      </c>
      <c r="J156" s="135">
        <f>IF(J16&gt;=J17,"OK","BŁĄD")</f>
        <v>0</v>
      </c>
      <c r="K156" s="135">
        <f>IF(K16&gt;=K17,"OK","BŁĄD")</f>
        <v>0</v>
      </c>
      <c r="L156" s="135">
        <f>IF(L16&gt;=L17,"OK","BŁĄD")</f>
        <v>0</v>
      </c>
      <c r="M156" s="135">
        <f>IF(M16&gt;=M17,"OK","BŁĄD")</f>
        <v>0</v>
      </c>
      <c r="N156" s="135">
        <f>IF(N16&gt;=N17,"OK","BŁĄD")</f>
        <v>0</v>
      </c>
      <c r="O156" s="135">
        <f>IF(O16&gt;=O17,"OK","BŁĄD")</f>
        <v>0</v>
      </c>
      <c r="P156" s="135">
        <f>IF(P16&gt;=P17,"OK","BŁĄD")</f>
        <v>0</v>
      </c>
      <c r="Q156" s="135">
        <f>IF(Q16&gt;=Q17,"OK","BŁĄD")</f>
        <v>0</v>
      </c>
    </row>
    <row r="157" spans="2:17" ht="14.25" outlineLevel="2">
      <c r="B157" s="128" t="s">
        <v>357</v>
      </c>
      <c r="C157" s="129" t="s">
        <v>357</v>
      </c>
      <c r="D157" s="142" t="s">
        <v>358</v>
      </c>
      <c r="E157" s="131" t="s">
        <v>8</v>
      </c>
      <c r="F157" s="132" t="s">
        <v>8</v>
      </c>
      <c r="G157" s="132" t="s">
        <v>8</v>
      </c>
      <c r="H157" s="133" t="s">
        <v>8</v>
      </c>
      <c r="I157" s="134">
        <f>IF(I16&gt;=I102,"OK","BŁĄD")</f>
        <v>0</v>
      </c>
      <c r="J157" s="135">
        <f>IF(J16&gt;=J102,"OK","BŁĄD")</f>
        <v>0</v>
      </c>
      <c r="K157" s="135">
        <f>IF(K16&gt;=K102,"OK","BŁĄD")</f>
        <v>0</v>
      </c>
      <c r="L157" s="135">
        <f>IF(L16&gt;=L102,"OK","BŁĄD")</f>
        <v>0</v>
      </c>
      <c r="M157" s="135">
        <f>IF(M16&gt;=M102,"OK","BŁĄD")</f>
        <v>0</v>
      </c>
      <c r="N157" s="135">
        <f>IF(N16&gt;=N102,"OK","BŁĄD")</f>
        <v>0</v>
      </c>
      <c r="O157" s="135">
        <f>IF(O16&gt;=O102,"OK","BŁĄD")</f>
        <v>0</v>
      </c>
      <c r="P157" s="135">
        <f>IF(P16&gt;=P102,"OK","BŁĄD")</f>
        <v>0</v>
      </c>
      <c r="Q157" s="135">
        <f>IF(Q16&gt;=Q102,"OK","BŁĄD")</f>
        <v>0</v>
      </c>
    </row>
    <row r="158" spans="2:17" ht="14.25" outlineLevel="2">
      <c r="B158" s="128" t="s">
        <v>359</v>
      </c>
      <c r="C158" s="129" t="s">
        <v>359</v>
      </c>
      <c r="D158" s="142" t="s">
        <v>360</v>
      </c>
      <c r="E158" s="131" t="s">
        <v>8</v>
      </c>
      <c r="F158" s="132" t="s">
        <v>8</v>
      </c>
      <c r="G158" s="132" t="s">
        <v>8</v>
      </c>
      <c r="H158" s="133" t="s">
        <v>8</v>
      </c>
      <c r="I158" s="134">
        <f>IF(I19&gt;=I20,"OK","BŁĄD")</f>
        <v>0</v>
      </c>
      <c r="J158" s="135">
        <f aca="true" t="shared" si="227" ref="J158:J159">IF(J19&gt;=J20,"OK","BŁĄD")</f>
        <v>0</v>
      </c>
      <c r="K158" s="135">
        <f aca="true" t="shared" si="228" ref="K158:K159">IF(K19&gt;=K20,"OK","BŁĄD")</f>
        <v>0</v>
      </c>
      <c r="L158" s="135">
        <f aca="true" t="shared" si="229" ref="L158:L159">IF(L19&gt;=L20,"OK","BŁĄD")</f>
        <v>0</v>
      </c>
      <c r="M158" s="135">
        <f aca="true" t="shared" si="230" ref="M158:M159">IF(M19&gt;=M20,"OK","BŁĄD")</f>
        <v>0</v>
      </c>
      <c r="N158" s="135">
        <f aca="true" t="shared" si="231" ref="N158:N159">IF(N19&gt;=N20,"OK","BŁĄD")</f>
        <v>0</v>
      </c>
      <c r="O158" s="135">
        <f aca="true" t="shared" si="232" ref="O158:O159">IF(O19&gt;=O20,"OK","BŁĄD")</f>
        <v>0</v>
      </c>
      <c r="P158" s="135">
        <f aca="true" t="shared" si="233" ref="P158:P159">IF(P19&gt;=P20,"OK","BŁĄD")</f>
        <v>0</v>
      </c>
      <c r="Q158" s="135">
        <f aca="true" t="shared" si="234" ref="Q158:Q159">IF(Q19&gt;=Q20,"OK","BŁĄD")</f>
        <v>0</v>
      </c>
    </row>
    <row r="159" spans="2:17" ht="14.25" outlineLevel="2">
      <c r="B159" s="128" t="s">
        <v>359</v>
      </c>
      <c r="C159" s="129" t="s">
        <v>359</v>
      </c>
      <c r="D159" s="142" t="s">
        <v>361</v>
      </c>
      <c r="E159" s="131" t="s">
        <v>8</v>
      </c>
      <c r="F159" s="132" t="s">
        <v>8</v>
      </c>
      <c r="G159" s="132" t="s">
        <v>8</v>
      </c>
      <c r="H159" s="133" t="s">
        <v>8</v>
      </c>
      <c r="I159" s="134">
        <f>IF(I20&gt;=(I21+I22),"OK","BŁĄD")</f>
        <v>0</v>
      </c>
      <c r="J159" s="135">
        <f t="shared" si="227"/>
        <v>0</v>
      </c>
      <c r="K159" s="135">
        <f t="shared" si="228"/>
        <v>0</v>
      </c>
      <c r="L159" s="135">
        <f t="shared" si="229"/>
        <v>0</v>
      </c>
      <c r="M159" s="135">
        <f t="shared" si="230"/>
        <v>0</v>
      </c>
      <c r="N159" s="135">
        <f t="shared" si="231"/>
        <v>0</v>
      </c>
      <c r="O159" s="135">
        <f t="shared" si="232"/>
        <v>0</v>
      </c>
      <c r="P159" s="135">
        <f t="shared" si="233"/>
        <v>0</v>
      </c>
      <c r="Q159" s="135">
        <f t="shared" si="234"/>
        <v>0</v>
      </c>
    </row>
    <row r="160" spans="2:17" ht="14.25" outlineLevel="2">
      <c r="B160" s="128" t="s">
        <v>362</v>
      </c>
      <c r="C160" s="129" t="s">
        <v>362</v>
      </c>
      <c r="D160" s="142" t="s">
        <v>363</v>
      </c>
      <c r="E160" s="131" t="s">
        <v>8</v>
      </c>
      <c r="F160" s="132" t="s">
        <v>8</v>
      </c>
      <c r="G160" s="132" t="s">
        <v>8</v>
      </c>
      <c r="H160" s="133" t="s">
        <v>8</v>
      </c>
      <c r="I160" s="134">
        <f>IF(I15&gt;=(I16+I18+I19),"OK","BŁĄD")</f>
        <v>0</v>
      </c>
      <c r="J160" s="135">
        <f>IF(J15&gt;=(J16+J18+J19),"OK","BŁĄD")</f>
        <v>0</v>
      </c>
      <c r="K160" s="135">
        <f>IF(K15&gt;=(K16+K18+K19),"OK","BŁĄD")</f>
        <v>0</v>
      </c>
      <c r="L160" s="135">
        <f>IF(L15&gt;=(L16+L18+L19),"OK","BŁĄD")</f>
        <v>0</v>
      </c>
      <c r="M160" s="135">
        <f>IF(M15&gt;=(M16+M18+M19),"OK","BŁĄD")</f>
        <v>0</v>
      </c>
      <c r="N160" s="135">
        <f>IF(N15&gt;=(N16+N18+N19),"OK","BŁĄD")</f>
        <v>0</v>
      </c>
      <c r="O160" s="135">
        <f>IF(O15&gt;=(O16+O18+O19),"OK","BŁĄD")</f>
        <v>0</v>
      </c>
      <c r="P160" s="135">
        <f>IF(P15&gt;=(P16+P18+P19),"OK","BŁĄD")</f>
        <v>0</v>
      </c>
      <c r="Q160" s="135">
        <f>IF(Q15&gt;=(Q16+Q18+Q19),"OK","BŁĄD")</f>
        <v>0</v>
      </c>
    </row>
    <row r="161" spans="2:17" ht="14.25" outlineLevel="2">
      <c r="B161" s="128" t="s">
        <v>364</v>
      </c>
      <c r="C161" s="129" t="s">
        <v>364</v>
      </c>
      <c r="D161" s="142" t="s">
        <v>365</v>
      </c>
      <c r="E161" s="131" t="s">
        <v>8</v>
      </c>
      <c r="F161" s="132" t="s">
        <v>8</v>
      </c>
      <c r="G161" s="132" t="s">
        <v>8</v>
      </c>
      <c r="H161" s="133" t="s">
        <v>8</v>
      </c>
      <c r="I161" s="134">
        <f>IF(I15&gt;=I59,"OK","BŁĄD")</f>
        <v>0</v>
      </c>
      <c r="J161" s="135">
        <f>IF(J15&gt;=J59,"OK","BŁĄD")</f>
        <v>0</v>
      </c>
      <c r="K161" s="135">
        <f>IF(K15&gt;=K59,"OK","BŁĄD")</f>
        <v>0</v>
      </c>
      <c r="L161" s="135">
        <f>IF(L15&gt;=L59,"OK","BŁĄD")</f>
        <v>0</v>
      </c>
      <c r="M161" s="135">
        <f>IF(M15&gt;=M59,"OK","BŁĄD")</f>
        <v>0</v>
      </c>
      <c r="N161" s="135">
        <f>IF(N15&gt;=N59,"OK","BŁĄD")</f>
        <v>0</v>
      </c>
      <c r="O161" s="135">
        <f>IF(O15&gt;=O59,"OK","BŁĄD")</f>
        <v>0</v>
      </c>
      <c r="P161" s="135">
        <f>IF(P15&gt;=P59,"OK","BŁĄD")</f>
        <v>0</v>
      </c>
      <c r="Q161" s="135">
        <f>IF(Q15&gt;=Q59,"OK","BŁĄD")</f>
        <v>0</v>
      </c>
    </row>
    <row r="162" spans="2:17" ht="14.25" outlineLevel="2">
      <c r="B162" s="128" t="s">
        <v>366</v>
      </c>
      <c r="C162" s="129" t="s">
        <v>366</v>
      </c>
      <c r="D162" s="142" t="s">
        <v>367</v>
      </c>
      <c r="E162" s="131" t="s">
        <v>8</v>
      </c>
      <c r="F162" s="132" t="s">
        <v>8</v>
      </c>
      <c r="G162" s="132" t="s">
        <v>8</v>
      </c>
      <c r="H162" s="133" t="s">
        <v>8</v>
      </c>
      <c r="I162" s="134">
        <f>IF(I15&gt;=I62,"OK","BŁĄD")</f>
        <v>0</v>
      </c>
      <c r="J162" s="135">
        <f>IF(J15&gt;=J62,"OK","BŁĄD")</f>
        <v>0</v>
      </c>
      <c r="K162" s="135">
        <f>IF(K15&gt;=K62,"OK","BŁĄD")</f>
        <v>0</v>
      </c>
      <c r="L162" s="135">
        <f>IF(L15&gt;=L62,"OK","BŁĄD")</f>
        <v>0</v>
      </c>
      <c r="M162" s="135">
        <f>IF(M15&gt;=M62,"OK","BŁĄD")</f>
        <v>0</v>
      </c>
      <c r="N162" s="135">
        <f>IF(N15&gt;=N62,"OK","BŁĄD")</f>
        <v>0</v>
      </c>
      <c r="O162" s="135">
        <f>IF(O15&gt;=O62,"OK","BŁĄD")</f>
        <v>0</v>
      </c>
      <c r="P162" s="135">
        <f>IF(P15&gt;=P62,"OK","BŁĄD")</f>
        <v>0</v>
      </c>
      <c r="Q162" s="135">
        <f>IF(Q15&gt;=Q62,"OK","BŁĄD")</f>
        <v>0</v>
      </c>
    </row>
    <row r="163" spans="2:17" ht="14.25" outlineLevel="2">
      <c r="B163" s="128" t="s">
        <v>368</v>
      </c>
      <c r="C163" s="129" t="s">
        <v>368</v>
      </c>
      <c r="D163" s="142" t="s">
        <v>369</v>
      </c>
      <c r="E163" s="131" t="s">
        <v>8</v>
      </c>
      <c r="F163" s="132" t="s">
        <v>8</v>
      </c>
      <c r="G163" s="132" t="s">
        <v>8</v>
      </c>
      <c r="H163" s="133" t="s">
        <v>8</v>
      </c>
      <c r="I163" s="134">
        <f>IF(I15&gt;=I74,"OK","BŁĄD")</f>
        <v>0</v>
      </c>
      <c r="J163" s="135">
        <f>IF(J15&gt;=J74,"OK","BŁĄD")</f>
        <v>0</v>
      </c>
      <c r="K163" s="135">
        <f>IF(K15&gt;=K74,"OK","BŁĄD")</f>
        <v>0</v>
      </c>
      <c r="L163" s="135">
        <f>IF(L15&gt;=L74,"OK","BŁĄD")</f>
        <v>0</v>
      </c>
      <c r="M163" s="135">
        <f>IF(M15&gt;=M74,"OK","BŁĄD")</f>
        <v>0</v>
      </c>
      <c r="N163" s="135">
        <f>IF(N15&gt;=N74,"OK","BŁĄD")</f>
        <v>0</v>
      </c>
      <c r="O163" s="135">
        <f>IF(O15&gt;=O74,"OK","BŁĄD")</f>
        <v>0</v>
      </c>
      <c r="P163" s="135">
        <f>IF(P15&gt;=P74,"OK","BŁĄD")</f>
        <v>0</v>
      </c>
      <c r="Q163" s="135">
        <f>IF(Q15&gt;=Q74,"OK","BŁĄD")</f>
        <v>0</v>
      </c>
    </row>
    <row r="164" spans="2:17" ht="14.25" outlineLevel="2">
      <c r="B164" s="128" t="s">
        <v>370</v>
      </c>
      <c r="C164" s="129" t="s">
        <v>370</v>
      </c>
      <c r="D164" s="142" t="s">
        <v>371</v>
      </c>
      <c r="E164" s="131" t="s">
        <v>8</v>
      </c>
      <c r="F164" s="132" t="s">
        <v>8</v>
      </c>
      <c r="G164" s="132" t="s">
        <v>8</v>
      </c>
      <c r="H164" s="133" t="s">
        <v>8</v>
      </c>
      <c r="I164" s="134">
        <f>IF(I15&gt;=I95,"OK","BŁĄD")</f>
        <v>0</v>
      </c>
      <c r="J164" s="135">
        <f>IF(J15&gt;=J95,"OK","BŁĄD")</f>
        <v>0</v>
      </c>
      <c r="K164" s="135">
        <f>IF(K15&gt;=K95,"OK","BŁĄD")</f>
        <v>0</v>
      </c>
      <c r="L164" s="135">
        <f>IF(L15&gt;=L95,"OK","BŁĄD")</f>
        <v>0</v>
      </c>
      <c r="M164" s="135">
        <f>IF(M15&gt;=M95,"OK","BŁĄD")</f>
        <v>0</v>
      </c>
      <c r="N164" s="135">
        <f>IF(N15&gt;=N95,"OK","BŁĄD")</f>
        <v>0</v>
      </c>
      <c r="O164" s="135">
        <f>IF(O15&gt;=O95,"OK","BŁĄD")</f>
        <v>0</v>
      </c>
      <c r="P164" s="135">
        <f>IF(P15&gt;=P95,"OK","BŁĄD")</f>
        <v>0</v>
      </c>
      <c r="Q164" s="135">
        <f>IF(Q15&gt;=Q95,"OK","BŁĄD")</f>
        <v>0</v>
      </c>
    </row>
    <row r="165" spans="2:17" ht="14.25" outlineLevel="2">
      <c r="B165" s="128" t="s">
        <v>372</v>
      </c>
      <c r="C165" s="129" t="s">
        <v>372</v>
      </c>
      <c r="D165" s="142" t="s">
        <v>373</v>
      </c>
      <c r="E165" s="131" t="s">
        <v>8</v>
      </c>
      <c r="F165" s="132" t="s">
        <v>8</v>
      </c>
      <c r="G165" s="132" t="s">
        <v>8</v>
      </c>
      <c r="H165" s="133" t="s">
        <v>8</v>
      </c>
      <c r="I165" s="134">
        <f>IF(I23&gt;=I63,"OK","BŁĄD")</f>
        <v>0</v>
      </c>
      <c r="J165" s="135">
        <f>IF(J23&gt;=J63,"OK","BŁĄD")</f>
        <v>0</v>
      </c>
      <c r="K165" s="135">
        <f>IF(K23&gt;=K63,"OK","BŁĄD")</f>
        <v>0</v>
      </c>
      <c r="L165" s="135">
        <f>IF(L23&gt;=L63,"OK","BŁĄD")</f>
        <v>0</v>
      </c>
      <c r="M165" s="135">
        <f>IF(M23&gt;=M63,"OK","BŁĄD")</f>
        <v>0</v>
      </c>
      <c r="N165" s="135">
        <f>IF(N23&gt;=N63,"OK","BŁĄD")</f>
        <v>0</v>
      </c>
      <c r="O165" s="135">
        <f>IF(O23&gt;=O63,"OK","BŁĄD")</f>
        <v>0</v>
      </c>
      <c r="P165" s="135">
        <f>IF(P23&gt;=P63,"OK","BŁĄD")</f>
        <v>0</v>
      </c>
      <c r="Q165" s="135">
        <f>IF(Q23&gt;=Q63,"OK","BŁĄD")</f>
        <v>0</v>
      </c>
    </row>
    <row r="166" spans="2:17" ht="14.25" outlineLevel="2">
      <c r="B166" s="128" t="s">
        <v>374</v>
      </c>
      <c r="C166" s="129" t="s">
        <v>374</v>
      </c>
      <c r="D166" s="142" t="s">
        <v>375</v>
      </c>
      <c r="E166" s="131" t="s">
        <v>8</v>
      </c>
      <c r="F166" s="132" t="s">
        <v>8</v>
      </c>
      <c r="G166" s="132" t="s">
        <v>8</v>
      </c>
      <c r="H166" s="133" t="s">
        <v>8</v>
      </c>
      <c r="I166" s="134">
        <f>IF(I23&gt;=I64+I65,"OK","BŁĄD")</f>
        <v>0</v>
      </c>
      <c r="J166" s="135">
        <f>IF(J23&gt;=J64+J65,"OK","BŁĄD")</f>
        <v>0</v>
      </c>
      <c r="K166" s="135">
        <f>IF(K23&gt;=K64+K65,"OK","BŁĄD")</f>
        <v>0</v>
      </c>
      <c r="L166" s="135">
        <f>IF(L23&gt;=L64+L65,"OK","BŁĄD")</f>
        <v>0</v>
      </c>
      <c r="M166" s="135">
        <f>IF(M23&gt;=M64+M65,"OK","BŁĄD")</f>
        <v>0</v>
      </c>
      <c r="N166" s="135">
        <f>IF(N23&gt;=N64+N65,"OK","BŁĄD")</f>
        <v>0</v>
      </c>
      <c r="O166" s="135">
        <f>IF(O23&gt;=O64+O65,"OK","BŁĄD")</f>
        <v>0</v>
      </c>
      <c r="P166" s="135">
        <f>IF(P23&gt;=P64+P65,"OK","BŁĄD")</f>
        <v>0</v>
      </c>
      <c r="Q166" s="135">
        <f>IF(Q23&gt;=Q64+Q65,"OK","BŁĄD")</f>
        <v>0</v>
      </c>
    </row>
    <row r="167" spans="2:17" ht="14.25" outlineLevel="2">
      <c r="B167" s="128" t="s">
        <v>376</v>
      </c>
      <c r="C167" s="129" t="s">
        <v>376</v>
      </c>
      <c r="D167" s="142" t="s">
        <v>377</v>
      </c>
      <c r="E167" s="131" t="s">
        <v>8</v>
      </c>
      <c r="F167" s="132" t="s">
        <v>8</v>
      </c>
      <c r="G167" s="132" t="s">
        <v>8</v>
      </c>
      <c r="H167" s="133" t="s">
        <v>8</v>
      </c>
      <c r="I167" s="134">
        <f>IF(I23&gt;=I66,"OK","BŁĄD")</f>
        <v>0</v>
      </c>
      <c r="J167" s="135">
        <f>IF(J23&gt;=J66,"OK","BŁĄD")</f>
        <v>0</v>
      </c>
      <c r="K167" s="135">
        <f>IF(K23&gt;=K66,"OK","BŁĄD")</f>
        <v>0</v>
      </c>
      <c r="L167" s="135">
        <f>IF(L23&gt;=L66,"OK","BŁĄD")</f>
        <v>0</v>
      </c>
      <c r="M167" s="135">
        <f>IF(M23&gt;=M66,"OK","BŁĄD")</f>
        <v>0</v>
      </c>
      <c r="N167" s="135">
        <f>IF(N23&gt;=N66,"OK","BŁĄD")</f>
        <v>0</v>
      </c>
      <c r="O167" s="135">
        <f>IF(O23&gt;=O66,"OK","BŁĄD")</f>
        <v>0</v>
      </c>
      <c r="P167" s="135">
        <f>IF(P23&gt;=P66,"OK","BŁĄD")</f>
        <v>0</v>
      </c>
      <c r="Q167" s="135">
        <f>IF(Q23&gt;=Q66,"OK","BŁĄD")</f>
        <v>0</v>
      </c>
    </row>
    <row r="168" spans="2:17" ht="14.25" outlineLevel="2">
      <c r="B168" s="128" t="s">
        <v>378</v>
      </c>
      <c r="C168" s="129" t="s">
        <v>378</v>
      </c>
      <c r="D168" s="142" t="s">
        <v>379</v>
      </c>
      <c r="E168" s="131" t="s">
        <v>8</v>
      </c>
      <c r="F168" s="132" t="s">
        <v>8</v>
      </c>
      <c r="G168" s="132" t="s">
        <v>8</v>
      </c>
      <c r="H168" s="133" t="s">
        <v>8</v>
      </c>
      <c r="I168" s="134">
        <f>IF(I23&gt;=I77,"OK","BŁĄD")</f>
        <v>0</v>
      </c>
      <c r="J168" s="135">
        <f>IF(J23&gt;=J77,"OK","BŁĄD")</f>
        <v>0</v>
      </c>
      <c r="K168" s="135">
        <f>IF(K23&gt;=K77,"OK","BŁĄD")</f>
        <v>0</v>
      </c>
      <c r="L168" s="135">
        <f>IF(L23&gt;=L77,"OK","BŁĄD")</f>
        <v>0</v>
      </c>
      <c r="M168" s="135">
        <f>IF(M23&gt;=M77,"OK","BŁĄD")</f>
        <v>0</v>
      </c>
      <c r="N168" s="135">
        <f>IF(N23&gt;=N77,"OK","BŁĄD")</f>
        <v>0</v>
      </c>
      <c r="O168" s="135">
        <f>IF(O23&gt;=O77,"OK","BŁĄD")</f>
        <v>0</v>
      </c>
      <c r="P168" s="135">
        <f>IF(P23&gt;=P77,"OK","BŁĄD")</f>
        <v>0</v>
      </c>
      <c r="Q168" s="135">
        <f>IF(Q23&gt;=Q77,"OK","BŁĄD")</f>
        <v>0</v>
      </c>
    </row>
    <row r="169" spans="2:17" ht="14.25" outlineLevel="2">
      <c r="B169" s="128" t="s">
        <v>380</v>
      </c>
      <c r="C169" s="129" t="s">
        <v>380</v>
      </c>
      <c r="D169" s="142" t="s">
        <v>381</v>
      </c>
      <c r="E169" s="131" t="s">
        <v>8</v>
      </c>
      <c r="F169" s="132" t="s">
        <v>8</v>
      </c>
      <c r="G169" s="132" t="s">
        <v>8</v>
      </c>
      <c r="H169" s="133" t="s">
        <v>8</v>
      </c>
      <c r="I169" s="134">
        <f>IF(I26&gt;=I27,"OK","BŁĄD")</f>
        <v>0</v>
      </c>
      <c r="J169" s="135">
        <f>IF(J26&gt;=J27,"OK","BŁĄD")</f>
        <v>0</v>
      </c>
      <c r="K169" s="135">
        <f>IF(K26&gt;=K27,"OK","BŁĄD")</f>
        <v>0</v>
      </c>
      <c r="L169" s="135">
        <f>IF(L26&gt;=L27,"OK","BŁĄD")</f>
        <v>0</v>
      </c>
      <c r="M169" s="135">
        <f>IF(M26&gt;=M27,"OK","BŁĄD")</f>
        <v>0</v>
      </c>
      <c r="N169" s="135">
        <f>IF(N26&gt;=N27,"OK","BŁĄD")</f>
        <v>0</v>
      </c>
      <c r="O169" s="135">
        <f>IF(O26&gt;=O27,"OK","BŁĄD")</f>
        <v>0</v>
      </c>
      <c r="P169" s="135">
        <f>IF(P26&gt;=P27,"OK","BŁĄD")</f>
        <v>0</v>
      </c>
      <c r="Q169" s="135">
        <f>IF(Q26&gt;=Q27,"OK","BŁĄD")</f>
        <v>0</v>
      </c>
    </row>
    <row r="170" spans="2:17" ht="14.25" outlineLevel="2">
      <c r="B170" s="128" t="s">
        <v>382</v>
      </c>
      <c r="C170" s="129" t="s">
        <v>382</v>
      </c>
      <c r="D170" s="142" t="s">
        <v>383</v>
      </c>
      <c r="E170" s="131" t="s">
        <v>8</v>
      </c>
      <c r="F170" s="132" t="s">
        <v>8</v>
      </c>
      <c r="G170" s="132" t="s">
        <v>8</v>
      </c>
      <c r="H170" s="133" t="s">
        <v>8</v>
      </c>
      <c r="I170" s="134">
        <f>IF(I28&gt;=I29,"OK","BŁĄD")</f>
        <v>0</v>
      </c>
      <c r="J170" s="135">
        <f>IF(J28&gt;=J29,"OK","BŁĄD")</f>
        <v>0</v>
      </c>
      <c r="K170" s="135">
        <f>IF(K28&gt;=K29,"OK","BŁĄD")</f>
        <v>0</v>
      </c>
      <c r="L170" s="135">
        <f>IF(L28&gt;=L29,"OK","BŁĄD")</f>
        <v>0</v>
      </c>
      <c r="M170" s="135">
        <f>IF(M28&gt;=M29,"OK","BŁĄD")</f>
        <v>0</v>
      </c>
      <c r="N170" s="135">
        <f>IF(N28&gt;=N29,"OK","BŁĄD")</f>
        <v>0</v>
      </c>
      <c r="O170" s="135">
        <f>IF(O28&gt;=O29,"OK","BŁĄD")</f>
        <v>0</v>
      </c>
      <c r="P170" s="135">
        <f>IF(P28&gt;=P29,"OK","BŁĄD")</f>
        <v>0</v>
      </c>
      <c r="Q170" s="135">
        <f>IF(Q28&gt;=Q29,"OK","BŁĄD")</f>
        <v>0</v>
      </c>
    </row>
    <row r="171" spans="2:17" ht="14.25" outlineLevel="2">
      <c r="B171" s="128" t="s">
        <v>384</v>
      </c>
      <c r="C171" s="129" t="s">
        <v>384</v>
      </c>
      <c r="D171" s="142" t="s">
        <v>385</v>
      </c>
      <c r="E171" s="131" t="s">
        <v>8</v>
      </c>
      <c r="F171" s="132" t="s">
        <v>8</v>
      </c>
      <c r="G171" s="132" t="s">
        <v>8</v>
      </c>
      <c r="H171" s="133" t="s">
        <v>8</v>
      </c>
      <c r="I171" s="134">
        <f>IF(I30&gt;=I31,"OK","BŁĄD")</f>
        <v>0</v>
      </c>
      <c r="J171" s="135">
        <f>IF(J30&gt;=J31,"OK","BŁĄD")</f>
        <v>0</v>
      </c>
      <c r="K171" s="135">
        <f>IF(K30&gt;=K31,"OK","BŁĄD")</f>
        <v>0</v>
      </c>
      <c r="L171" s="135">
        <f>IF(L30&gt;=L31,"OK","BŁĄD")</f>
        <v>0</v>
      </c>
      <c r="M171" s="135">
        <f>IF(M30&gt;=M31,"OK","BŁĄD")</f>
        <v>0</v>
      </c>
      <c r="N171" s="135">
        <f>IF(N30&gt;=N31,"OK","BŁĄD")</f>
        <v>0</v>
      </c>
      <c r="O171" s="135">
        <f>IF(O30&gt;=O31,"OK","BŁĄD")</f>
        <v>0</v>
      </c>
      <c r="P171" s="135">
        <f>IF(P30&gt;=P31,"OK","BŁĄD")</f>
        <v>0</v>
      </c>
      <c r="Q171" s="135">
        <f>IF(Q30&gt;=Q31,"OK","BŁĄD")</f>
        <v>0</v>
      </c>
    </row>
    <row r="172" spans="2:17" ht="14.25" outlineLevel="2">
      <c r="B172" s="128" t="s">
        <v>386</v>
      </c>
      <c r="C172" s="129" t="s">
        <v>386</v>
      </c>
      <c r="D172" s="142" t="s">
        <v>387</v>
      </c>
      <c r="E172" s="131" t="s">
        <v>8</v>
      </c>
      <c r="F172" s="132" t="s">
        <v>8</v>
      </c>
      <c r="G172" s="132" t="s">
        <v>8</v>
      </c>
      <c r="H172" s="133" t="s">
        <v>8</v>
      </c>
      <c r="I172" s="134">
        <f>IF(I32&gt;=I33,"OK","BŁĄD")</f>
        <v>0</v>
      </c>
      <c r="J172" s="135">
        <f>IF(J32&gt;=J33,"OK","BŁĄD")</f>
        <v>0</v>
      </c>
      <c r="K172" s="135">
        <f>IF(K32&gt;=K33,"OK","BŁĄD")</f>
        <v>0</v>
      </c>
      <c r="L172" s="135">
        <f>IF(L32&gt;=L33,"OK","BŁĄD")</f>
        <v>0</v>
      </c>
      <c r="M172" s="135">
        <f>IF(M32&gt;=M33,"OK","BŁĄD")</f>
        <v>0</v>
      </c>
      <c r="N172" s="135">
        <f>IF(N32&gt;=N33,"OK","BŁĄD")</f>
        <v>0</v>
      </c>
      <c r="O172" s="135">
        <f>IF(O32&gt;=O33,"OK","BŁĄD")</f>
        <v>0</v>
      </c>
      <c r="P172" s="135">
        <f>IF(P32&gt;=P33,"OK","BŁĄD")</f>
        <v>0</v>
      </c>
      <c r="Q172" s="135">
        <f>IF(Q32&gt;=Q33,"OK","BŁĄD")</f>
        <v>0</v>
      </c>
    </row>
    <row r="173" spans="2:17" ht="14.25" outlineLevel="2">
      <c r="B173" s="128" t="s">
        <v>388</v>
      </c>
      <c r="C173" s="129" t="s">
        <v>388</v>
      </c>
      <c r="D173" s="142" t="s">
        <v>389</v>
      </c>
      <c r="E173" s="131" t="s">
        <v>8</v>
      </c>
      <c r="F173" s="132" t="s">
        <v>8</v>
      </c>
      <c r="G173" s="132" t="s">
        <v>8</v>
      </c>
      <c r="H173" s="133" t="s">
        <v>8</v>
      </c>
      <c r="I173" s="134">
        <f>IF(I35&gt;=I36,"OK","BŁĄD")</f>
        <v>0</v>
      </c>
      <c r="J173" s="135">
        <f>IF(J35&gt;=J36,"OK","BŁĄD")</f>
        <v>0</v>
      </c>
      <c r="K173" s="135">
        <f>IF(K35&gt;=K36,"OK","BŁĄD")</f>
        <v>0</v>
      </c>
      <c r="L173" s="135">
        <f>IF(L35&gt;=L36,"OK","BŁĄD")</f>
        <v>0</v>
      </c>
      <c r="M173" s="135">
        <f>IF(M35&gt;=M36,"OK","BŁĄD")</f>
        <v>0</v>
      </c>
      <c r="N173" s="135">
        <f>IF(N35&gt;=N36,"OK","BŁĄD")</f>
        <v>0</v>
      </c>
      <c r="O173" s="135">
        <f>IF(O35&gt;=O36,"OK","BŁĄD")</f>
        <v>0</v>
      </c>
      <c r="P173" s="135">
        <f>IF(P35&gt;=P36,"OK","BŁĄD")</f>
        <v>0</v>
      </c>
      <c r="Q173" s="135">
        <f>IF(Q35&gt;=Q36,"OK","BŁĄD")</f>
        <v>0</v>
      </c>
    </row>
    <row r="174" spans="2:17" ht="14.25" outlineLevel="2">
      <c r="B174" s="128" t="s">
        <v>390</v>
      </c>
      <c r="C174" s="129" t="s">
        <v>390</v>
      </c>
      <c r="D174" s="142" t="s">
        <v>391</v>
      </c>
      <c r="E174" s="131" t="s">
        <v>8</v>
      </c>
      <c r="F174" s="132" t="s">
        <v>8</v>
      </c>
      <c r="G174" s="132" t="s">
        <v>8</v>
      </c>
      <c r="H174" s="133" t="s">
        <v>8</v>
      </c>
      <c r="I174" s="134">
        <f>IF(I35&gt;=I57,"OK","BŁĄD")</f>
        <v>0</v>
      </c>
      <c r="J174" s="135">
        <f>IF(J35&gt;=J57,"OK","BŁĄD")</f>
        <v>0</v>
      </c>
      <c r="K174" s="135">
        <f>IF(K35&gt;=K57,"OK","BŁĄD")</f>
        <v>0</v>
      </c>
      <c r="L174" s="135">
        <f>IF(L35&gt;=L57,"OK","BŁĄD")</f>
        <v>0</v>
      </c>
      <c r="M174" s="135">
        <f>IF(M35&gt;=M57,"OK","BŁĄD")</f>
        <v>0</v>
      </c>
      <c r="N174" s="135">
        <f>IF(N35&gt;=N57,"OK","BŁĄD")</f>
        <v>0</v>
      </c>
      <c r="O174" s="135">
        <f>IF(O35&gt;=O57,"OK","BŁĄD")</f>
        <v>0</v>
      </c>
      <c r="P174" s="135">
        <f>IF(P35&gt;=P57,"OK","BŁĄD")</f>
        <v>0</v>
      </c>
      <c r="Q174" s="135">
        <f>IF(Q35&gt;=Q57,"OK","BŁĄD")</f>
        <v>0</v>
      </c>
    </row>
    <row r="175" spans="2:17" ht="14.25" outlineLevel="2">
      <c r="B175" s="128" t="s">
        <v>392</v>
      </c>
      <c r="C175" s="129" t="s">
        <v>392</v>
      </c>
      <c r="D175" s="142" t="s">
        <v>393</v>
      </c>
      <c r="E175" s="131" t="s">
        <v>8</v>
      </c>
      <c r="F175" s="132" t="s">
        <v>8</v>
      </c>
      <c r="G175" s="132" t="s">
        <v>8</v>
      </c>
      <c r="H175" s="133" t="s">
        <v>8</v>
      </c>
      <c r="I175" s="134">
        <f>IF(I35&gt;=I97,"OK","BŁĄD")</f>
        <v>0</v>
      </c>
      <c r="J175" s="135">
        <f>IF(J35&gt;=J97,"OK","BŁĄD")</f>
        <v>0</v>
      </c>
      <c r="K175" s="135">
        <f>IF(K35&gt;=K97,"OK","BŁĄD")</f>
        <v>0</v>
      </c>
      <c r="L175" s="135">
        <f>IF(L35&gt;=L97,"OK","BŁĄD")</f>
        <v>0</v>
      </c>
      <c r="M175" s="135">
        <f>IF(M35&gt;=M97,"OK","BŁĄD")</f>
        <v>0</v>
      </c>
      <c r="N175" s="135">
        <f>IF(N35&gt;=N97,"OK","BŁĄD")</f>
        <v>0</v>
      </c>
      <c r="O175" s="135">
        <f>IF(O35&gt;=O97,"OK","BŁĄD")</f>
        <v>0</v>
      </c>
      <c r="P175" s="135">
        <f>IF(P35&gt;=P97,"OK","BŁĄD")</f>
        <v>0</v>
      </c>
      <c r="Q175" s="135">
        <f>IF(Q35&gt;=Q97,"OK","BŁĄD")</f>
        <v>0</v>
      </c>
    </row>
    <row r="176" spans="2:17" ht="14.25" outlineLevel="2">
      <c r="B176" s="128" t="s">
        <v>394</v>
      </c>
      <c r="C176" s="129" t="s">
        <v>394</v>
      </c>
      <c r="D176" s="142" t="s">
        <v>395</v>
      </c>
      <c r="E176" s="131" t="s">
        <v>8</v>
      </c>
      <c r="F176" s="132" t="s">
        <v>8</v>
      </c>
      <c r="G176" s="132" t="s">
        <v>8</v>
      </c>
      <c r="H176" s="133" t="s">
        <v>8</v>
      </c>
      <c r="I176" s="134">
        <f>IF(I41&gt;=I42,"OK","BŁĄD")</f>
        <v>0</v>
      </c>
      <c r="J176" s="135">
        <f>IF(J41&gt;=J42,"OK","BŁĄD")</f>
        <v>0</v>
      </c>
      <c r="K176" s="135">
        <f>IF(K41&gt;=K42,"OK","BŁĄD")</f>
        <v>0</v>
      </c>
      <c r="L176" s="135">
        <f>IF(L41&gt;=L42,"OK","BŁĄD")</f>
        <v>0</v>
      </c>
      <c r="M176" s="135">
        <f>IF(M41&gt;=M42,"OK","BŁĄD")</f>
        <v>0</v>
      </c>
      <c r="N176" s="135">
        <f>IF(N41&gt;=N42,"OK","BŁĄD")</f>
        <v>0</v>
      </c>
      <c r="O176" s="135">
        <f>IF(O41&gt;=O42,"OK","BŁĄD")</f>
        <v>0</v>
      </c>
      <c r="P176" s="135">
        <f>IF(P41&gt;=P42,"OK","BŁĄD")</f>
        <v>0</v>
      </c>
      <c r="Q176" s="135">
        <f>IF(Q41&gt;=Q42,"OK","BŁĄD")</f>
        <v>0</v>
      </c>
    </row>
    <row r="177" spans="2:17" ht="14.25" outlineLevel="2">
      <c r="B177" s="128" t="s">
        <v>396</v>
      </c>
      <c r="C177" s="129" t="s">
        <v>396</v>
      </c>
      <c r="D177" s="142" t="s">
        <v>397</v>
      </c>
      <c r="E177" s="131" t="s">
        <v>8</v>
      </c>
      <c r="F177" s="132" t="s">
        <v>8</v>
      </c>
      <c r="G177" s="132" t="s">
        <v>8</v>
      </c>
      <c r="H177" s="133" t="s">
        <v>8</v>
      </c>
      <c r="I177" s="134">
        <f>IF(I41&gt;=I98,"OK","BŁĄD")</f>
        <v>0</v>
      </c>
      <c r="J177" s="135">
        <f>IF(J41&gt;=J98,"OK","BŁĄD")</f>
        <v>0</v>
      </c>
      <c r="K177" s="135">
        <f>IF(K41&gt;=K98,"OK","BŁĄD")</f>
        <v>0</v>
      </c>
      <c r="L177" s="135">
        <f>IF(L41&gt;=L98,"OK","BŁĄD")</f>
        <v>0</v>
      </c>
      <c r="M177" s="135">
        <f>IF(M41&gt;=M98,"OK","BŁĄD")</f>
        <v>0</v>
      </c>
      <c r="N177" s="135">
        <f>IF(N41&gt;=N98,"OK","BŁĄD")</f>
        <v>0</v>
      </c>
      <c r="O177" s="135">
        <f>IF(O41&gt;=O98,"OK","BŁĄD")</f>
        <v>0</v>
      </c>
      <c r="P177" s="135">
        <f>IF(P41&gt;=P98,"OK","BŁĄD")</f>
        <v>0</v>
      </c>
      <c r="Q177" s="135">
        <f>IF(Q41&gt;=Q98,"OK","BŁĄD")</f>
        <v>0</v>
      </c>
    </row>
    <row r="178" spans="2:17" ht="14.25" outlineLevel="2">
      <c r="B178" s="128" t="s">
        <v>398</v>
      </c>
      <c r="C178" s="129" t="s">
        <v>398</v>
      </c>
      <c r="D178" s="142" t="s">
        <v>399</v>
      </c>
      <c r="E178" s="131" t="s">
        <v>8</v>
      </c>
      <c r="F178" s="132" t="s">
        <v>8</v>
      </c>
      <c r="G178" s="132" t="s">
        <v>8</v>
      </c>
      <c r="H178" s="133" t="s">
        <v>8</v>
      </c>
      <c r="I178" s="134">
        <f>IF(I42&gt;=I89,"OK","BŁĄD")</f>
        <v>0</v>
      </c>
      <c r="J178" s="135">
        <f>IF(J42&gt;=J89,"OK","BŁĄD")</f>
        <v>0</v>
      </c>
      <c r="K178" s="135">
        <f>IF(K42&gt;=K89,"OK","BŁĄD")</f>
        <v>0</v>
      </c>
      <c r="L178" s="135">
        <f>IF(L42&gt;=L89,"OK","BŁĄD")</f>
        <v>0</v>
      </c>
      <c r="M178" s="135">
        <f>IF(M42&gt;=M89,"OK","BŁĄD")</f>
        <v>0</v>
      </c>
      <c r="N178" s="135">
        <f>IF(N42&gt;=N89,"OK","BŁĄD")</f>
        <v>0</v>
      </c>
      <c r="O178" s="135">
        <f>IF(O42&gt;=O89,"OK","BŁĄD")</f>
        <v>0</v>
      </c>
      <c r="P178" s="135">
        <f>IF(P42&gt;=P89,"OK","BŁĄD")</f>
        <v>0</v>
      </c>
      <c r="Q178" s="135">
        <f>IF(Q42&gt;=Q89,"OK","BŁĄD")</f>
        <v>0</v>
      </c>
    </row>
    <row r="179" spans="2:17" ht="14.25" outlineLevel="2">
      <c r="B179" s="145" t="s">
        <v>400</v>
      </c>
      <c r="C179" s="146" t="s">
        <v>400</v>
      </c>
      <c r="D179" s="147" t="s">
        <v>401</v>
      </c>
      <c r="E179" s="148" t="s">
        <v>8</v>
      </c>
      <c r="F179" s="149" t="s">
        <v>8</v>
      </c>
      <c r="G179" s="149" t="s">
        <v>8</v>
      </c>
      <c r="H179" s="150" t="s">
        <v>8</v>
      </c>
      <c r="I179" s="151">
        <f>IF(I19&lt;&gt;0,IF(I20&lt;&gt;0,"OK","BŁĄD"),"N/D")</f>
        <v>0</v>
      </c>
      <c r="J179" s="152">
        <f>IF(J19&lt;&gt;0,IF(J20&lt;&gt;0,"OK","BŁĄD"),"N/D")</f>
        <v>0</v>
      </c>
      <c r="K179" s="152">
        <f>IF(K19&lt;&gt;0,IF(K20&lt;&gt;0,"OK","BŁĄD"),"N/D")</f>
        <v>0</v>
      </c>
      <c r="L179" s="152">
        <f>IF(L19&lt;&gt;0,IF(L20&lt;&gt;0,"OK","BŁĄD"),"N/D")</f>
        <v>0</v>
      </c>
      <c r="M179" s="152">
        <f>IF(M19&lt;&gt;0,IF(M20&lt;&gt;0,"OK","BŁĄD"),"N/D")</f>
        <v>0</v>
      </c>
      <c r="N179" s="152">
        <f>IF(N19&lt;&gt;0,IF(N20&lt;&gt;0,"OK","BŁĄD"),"N/D")</f>
        <v>0</v>
      </c>
      <c r="O179" s="152">
        <f>IF(O19&lt;&gt;0,IF(O20&lt;&gt;0,"OK","BŁĄD"),"N/D")</f>
        <v>0</v>
      </c>
      <c r="P179" s="152">
        <f>IF(P19&lt;&gt;0,IF(P20&lt;&gt;0,"OK","BŁĄD"),"N/D")</f>
        <v>0</v>
      </c>
      <c r="Q179" s="152">
        <f>IF(Q19&lt;&gt;0,IF(Q20&lt;&gt;0,"OK","BŁĄD"),"N/D")</f>
        <v>0</v>
      </c>
    </row>
    <row r="180" spans="2:17" ht="14.25" outlineLevel="2">
      <c r="B180" s="153"/>
      <c r="C180" s="153"/>
      <c r="D180" s="153"/>
      <c r="E180" s="154"/>
      <c r="F180" s="154"/>
      <c r="G180" s="154"/>
      <c r="H180" s="154"/>
      <c r="I180" s="155"/>
      <c r="J180" s="155"/>
      <c r="K180" s="155"/>
      <c r="L180" s="155"/>
      <c r="M180" s="155"/>
      <c r="N180" s="155"/>
      <c r="O180" s="155"/>
      <c r="P180" s="155"/>
      <c r="Q180" s="155"/>
    </row>
    <row r="181" spans="2:17" ht="14.25" outlineLevel="1">
      <c r="B181" s="153"/>
      <c r="C181" s="153"/>
      <c r="D181" s="119" t="s">
        <v>402</v>
      </c>
      <c r="E181" s="154"/>
      <c r="F181" s="154"/>
      <c r="G181" s="154"/>
      <c r="H181" s="154"/>
      <c r="I181" s="155"/>
      <c r="J181" s="155"/>
      <c r="K181" s="155"/>
      <c r="L181" s="155"/>
      <c r="M181" s="155"/>
      <c r="N181" s="155"/>
      <c r="O181" s="155"/>
      <c r="P181" s="155"/>
      <c r="Q181" s="155"/>
    </row>
    <row r="182" spans="2:18" ht="15" outlineLevel="2">
      <c r="B182" s="156"/>
      <c r="C182" s="157"/>
      <c r="D182" s="158" t="s">
        <v>403</v>
      </c>
      <c r="E182" s="159">
        <f>E4+E11</f>
        <v>36897999.47</v>
      </c>
      <c r="F182" s="160">
        <f>F4+F11</f>
        <v>38775186.080000006</v>
      </c>
      <c r="G182" s="160">
        <f>G4+G11</f>
        <v>36552514.89</v>
      </c>
      <c r="H182" s="161">
        <f>H4+H11</f>
        <v>37229518.089999996</v>
      </c>
      <c r="I182" s="162">
        <f>I4+I11</f>
        <v>40703030.39</v>
      </c>
      <c r="J182" s="163">
        <f>J4+J11</f>
        <v>39352887.87</v>
      </c>
      <c r="K182" s="163">
        <f>K4+K11</f>
        <v>39000000</v>
      </c>
      <c r="L182" s="163">
        <f>L4+L11</f>
        <v>40000000</v>
      </c>
      <c r="M182" s="163">
        <f>M4+M11</f>
        <v>41000000</v>
      </c>
      <c r="N182" s="163">
        <f>N4+N11</f>
        <v>42000000</v>
      </c>
      <c r="O182" s="163">
        <f>O4+O11</f>
        <v>43000000</v>
      </c>
      <c r="P182" s="163">
        <f>P4+P11</f>
        <v>44000000</v>
      </c>
      <c r="Q182" s="163">
        <f>Q4+Q11</f>
        <v>45000000</v>
      </c>
      <c r="R182" s="156"/>
    </row>
    <row r="183" spans="2:18" ht="15" outlineLevel="2">
      <c r="B183" s="156"/>
      <c r="C183" s="157"/>
      <c r="D183" s="164" t="s">
        <v>404</v>
      </c>
      <c r="E183" s="165">
        <f>E15+E23</f>
        <v>37003938.3</v>
      </c>
      <c r="F183" s="166">
        <f>F15+F23</f>
        <v>37365699.93</v>
      </c>
      <c r="G183" s="166">
        <f>G15+G23</f>
        <v>42482913.269999996</v>
      </c>
      <c r="H183" s="167">
        <f>H15+H23</f>
        <v>39803316.09</v>
      </c>
      <c r="I183" s="168">
        <f>I15+I23</f>
        <v>42706938.769999996</v>
      </c>
      <c r="J183" s="169">
        <f>J15+J23</f>
        <v>37874683.87</v>
      </c>
      <c r="K183" s="169">
        <f>K15+K23</f>
        <v>37321796</v>
      </c>
      <c r="L183" s="169">
        <f>L15+L23</f>
        <v>38139996</v>
      </c>
      <c r="M183" s="169">
        <f>M15+M23</f>
        <v>38789996</v>
      </c>
      <c r="N183" s="169">
        <f>N15+N23</f>
        <v>39789996</v>
      </c>
      <c r="O183" s="169">
        <f>O15+O23</f>
        <v>40749996</v>
      </c>
      <c r="P183" s="169">
        <f>P15+P23</f>
        <v>41582000</v>
      </c>
      <c r="Q183" s="169">
        <f>Q15+Q23</f>
        <v>42934308</v>
      </c>
      <c r="R183" s="156"/>
    </row>
    <row r="184" spans="2:18" ht="15" outlineLevel="2">
      <c r="B184" s="156"/>
      <c r="C184" s="157"/>
      <c r="D184" s="164" t="s">
        <v>405</v>
      </c>
      <c r="E184" s="165">
        <f>E3-E14</f>
        <v>-105938.82999999821</v>
      </c>
      <c r="F184" s="166">
        <f>F3-F14</f>
        <v>1409486.1499999985</v>
      </c>
      <c r="G184" s="166">
        <f>G3-G14</f>
        <v>-5930398.380000003</v>
      </c>
      <c r="H184" s="167">
        <f>H3-H14</f>
        <v>-2573798</v>
      </c>
      <c r="I184" s="168">
        <f>I3-I14</f>
        <v>-2003908.3800000027</v>
      </c>
      <c r="J184" s="169">
        <f>J3-J14</f>
        <v>1478204</v>
      </c>
      <c r="K184" s="169">
        <f>K3-K14</f>
        <v>1678204</v>
      </c>
      <c r="L184" s="169">
        <f>L3-L14</f>
        <v>1860004</v>
      </c>
      <c r="M184" s="169">
        <f>M3-M14</f>
        <v>2210004</v>
      </c>
      <c r="N184" s="169">
        <f>N3-N14</f>
        <v>2210004</v>
      </c>
      <c r="O184" s="169">
        <f>O3-O14</f>
        <v>2250004</v>
      </c>
      <c r="P184" s="169">
        <f>P3-P14</f>
        <v>2418000</v>
      </c>
      <c r="Q184" s="169">
        <f>Q3-Q14</f>
        <v>2065692</v>
      </c>
      <c r="R184" s="156"/>
    </row>
    <row r="185" spans="2:18" ht="15" outlineLevel="2">
      <c r="B185" s="156"/>
      <c r="C185" s="157"/>
      <c r="D185" s="170" t="s">
        <v>406</v>
      </c>
      <c r="E185" s="171" t="s">
        <v>8</v>
      </c>
      <c r="F185" s="166">
        <f>E41+F30-F35+(F98-E98)+F103</f>
        <v>15984842.88</v>
      </c>
      <c r="G185" s="172" t="s">
        <v>8</v>
      </c>
      <c r="H185" s="167">
        <f>F41+H30-H35+(H98-F98)+H103</f>
        <v>16570116</v>
      </c>
      <c r="I185" s="168">
        <f>H41+I30-I35+(I98-H98)+I103</f>
        <v>16170116</v>
      </c>
      <c r="J185" s="169">
        <f>I41+J30-J35+(J98-I98)+J103</f>
        <v>14691912</v>
      </c>
      <c r="K185" s="169">
        <f>J41+K30-K35+(K98-J98)+K103</f>
        <v>13013708</v>
      </c>
      <c r="L185" s="169">
        <f>K41+L30-L35+(L98-K98)+L103</f>
        <v>11153704</v>
      </c>
      <c r="M185" s="169">
        <f>L41+M30-M35+(M98-L98)+M103</f>
        <v>8943700</v>
      </c>
      <c r="N185" s="169">
        <f>M41+N30-N35+(N98-M98)+N103</f>
        <v>6733696</v>
      </c>
      <c r="O185" s="169">
        <f>N41+O30-O35+(O98-N98)+O103</f>
        <v>4483692</v>
      </c>
      <c r="P185" s="169">
        <f>O41+P30-P35+(P98-O98)+P103</f>
        <v>2065692</v>
      </c>
      <c r="Q185" s="169">
        <f>P41+Q30-Q35+(Q98-P98)+Q103</f>
        <v>0</v>
      </c>
      <c r="R185" s="156"/>
    </row>
    <row r="186" spans="2:18" ht="15" outlineLevel="2">
      <c r="B186" s="156"/>
      <c r="C186" s="157"/>
      <c r="D186" s="173" t="s">
        <v>407</v>
      </c>
      <c r="E186" s="174" t="s">
        <v>8</v>
      </c>
      <c r="F186" s="175">
        <f>E89-(F91+F92+F93+F94)</f>
        <v>0</v>
      </c>
      <c r="G186" s="176" t="s">
        <v>8</v>
      </c>
      <c r="H186" s="177">
        <f>F89-(H91+H92+H93+H94)</f>
        <v>0</v>
      </c>
      <c r="I186" s="178">
        <f>H89-(I91+I92+I93+I94)</f>
        <v>0</v>
      </c>
      <c r="J186" s="179">
        <f>I89-(J91+J92+J93+J94)</f>
        <v>0</v>
      </c>
      <c r="K186" s="179">
        <f>J89-(K91+K92+K93+K94)</f>
        <v>0</v>
      </c>
      <c r="L186" s="179">
        <f>K89-(L91+L92+L93+L94)</f>
        <v>0</v>
      </c>
      <c r="M186" s="179">
        <f>L89-(M91+M92+M93+M94)</f>
        <v>0</v>
      </c>
      <c r="N186" s="179">
        <f>M89-(N91+N92+N93+N94)</f>
        <v>0</v>
      </c>
      <c r="O186" s="179">
        <f>N89-(O91+O92+O93+O94)</f>
        <v>0</v>
      </c>
      <c r="P186" s="179">
        <f>O89-(P91+P92+P93+P94)</f>
        <v>0</v>
      </c>
      <c r="Q186" s="179">
        <f>P89-(Q91+Q92+Q93+Q94)</f>
        <v>0</v>
      </c>
      <c r="R186" s="156"/>
    </row>
    <row r="187" spans="5:8" ht="14.25">
      <c r="E187" s="180"/>
      <c r="F187" s="180"/>
      <c r="G187" s="180"/>
      <c r="H187" s="180"/>
    </row>
    <row r="188" spans="4:8" ht="15.75">
      <c r="D188" s="181" t="s">
        <v>408</v>
      </c>
      <c r="E188" s="182"/>
      <c r="F188" s="182"/>
      <c r="G188" s="182"/>
      <c r="H188" s="182"/>
    </row>
    <row r="189" spans="4:8" ht="14.25" outlineLevel="1">
      <c r="D189" s="183" t="s">
        <v>409</v>
      </c>
      <c r="E189" s="184"/>
      <c r="F189" s="184"/>
      <c r="G189" s="184"/>
      <c r="H189" s="184"/>
    </row>
    <row r="190" spans="4:17" ht="14.25" outlineLevel="2">
      <c r="D190" s="185">
        <v>0</v>
      </c>
      <c r="E190" s="186">
        <f aca="true" t="shared" si="235" ref="E190:E192">+"różnica mniejsza od "&amp;TEXT(D190*100,"0,0")&amp;"%"</f>
        <v>0</v>
      </c>
      <c r="F190" s="187"/>
      <c r="G190" s="187"/>
      <c r="H190" s="187"/>
      <c r="I190"/>
      <c r="J190" s="188"/>
      <c r="K190" s="188"/>
      <c r="L190" s="188"/>
      <c r="M190" s="188"/>
      <c r="N190" s="188"/>
      <c r="O190" s="188"/>
      <c r="P190" s="188"/>
      <c r="Q190" s="188"/>
    </row>
    <row r="191" spans="4:17" ht="14.25" outlineLevel="2">
      <c r="D191" s="189">
        <v>0.005</v>
      </c>
      <c r="E191" s="186">
        <f t="shared" si="235"/>
        <v>0</v>
      </c>
      <c r="F191" s="187"/>
      <c r="G191" s="187"/>
      <c r="H191" s="187"/>
      <c r="I191"/>
      <c r="J191" s="188"/>
      <c r="K191" s="188"/>
      <c r="L191" s="188"/>
      <c r="M191" s="188"/>
      <c r="N191" s="188"/>
      <c r="O191" s="188"/>
      <c r="P191" s="188"/>
      <c r="Q191" s="188"/>
    </row>
    <row r="192" spans="4:17" ht="14.25" outlineLevel="2">
      <c r="D192" s="190">
        <v>0.01</v>
      </c>
      <c r="E192" s="186">
        <f t="shared" si="235"/>
        <v>0</v>
      </c>
      <c r="F192" s="187"/>
      <c r="G192" s="187"/>
      <c r="H192" s="187"/>
      <c r="I192"/>
      <c r="J192" s="188"/>
      <c r="K192" s="188"/>
      <c r="L192" s="188"/>
      <c r="M192" s="188"/>
      <c r="N192" s="188"/>
      <c r="O192" s="188"/>
      <c r="P192" s="188"/>
      <c r="Q192" s="188"/>
    </row>
    <row r="193" spans="4:17" ht="14.25" outlineLevel="2">
      <c r="D193" s="191" t="s">
        <v>410</v>
      </c>
      <c r="E193" s="192" t="s">
        <v>8</v>
      </c>
      <c r="F193" s="193" t="s">
        <v>8</v>
      </c>
      <c r="G193" s="193" t="s">
        <v>8</v>
      </c>
      <c r="H193" s="194" t="s">
        <v>8</v>
      </c>
      <c r="I193" s="195">
        <f>+IF(I3=0,"",I52-I47)</f>
        <v>0.021399999999999995</v>
      </c>
      <c r="J193" s="196">
        <f>+IF(J3=0,"",J52-J47)</f>
        <v>-0.0001999999999999988</v>
      </c>
      <c r="K193" s="196">
        <f>+IF(K3=0,"",K52-K47)</f>
        <v>-0.005999999999999998</v>
      </c>
      <c r="L193" s="196">
        <f>+IF(L3=0,"",L52-L47)</f>
        <v>0.004299999999999991</v>
      </c>
      <c r="M193" s="196">
        <f>+IF(M3=0,"",M52-M47)</f>
        <v>0.020899999999999988</v>
      </c>
      <c r="N193" s="196">
        <f>+IF(N3=0,"",N52-N47)</f>
        <v>0.034699999999999995</v>
      </c>
      <c r="O193" s="196">
        <f>+IF(O3=0,"",O52-O47)</f>
        <v>0.0471</v>
      </c>
      <c r="P193" s="196">
        <f>+IF(P3=0,"",P52-P47)</f>
        <v>0.055700000000000006</v>
      </c>
      <c r="Q193" s="196">
        <f>+IF(Q3=0,"",Q52-Q47)</f>
        <v>0.0759</v>
      </c>
    </row>
    <row r="194" spans="4:17" ht="14.25" outlineLevel="2">
      <c r="D194" s="197" t="s">
        <v>411</v>
      </c>
      <c r="E194" s="198" t="s">
        <v>8</v>
      </c>
      <c r="F194" s="199" t="s">
        <v>8</v>
      </c>
      <c r="G194" s="199" t="s">
        <v>8</v>
      </c>
      <c r="H194" s="200" t="s">
        <v>8</v>
      </c>
      <c r="I194" s="201">
        <f>+IF(I3=0,"",I52-I48)</f>
        <v>0.021399999999999995</v>
      </c>
      <c r="J194" s="202">
        <f>+IF(J3=0,"",J52-J48)</f>
        <v>-0.0001999999999999988</v>
      </c>
      <c r="K194" s="202">
        <f>+IF(K3=0,"",K52-K48)</f>
        <v>-0.005999999999999998</v>
      </c>
      <c r="L194" s="202">
        <f>+IF(L3=0,"",L52-L48)</f>
        <v>0.004299999999999991</v>
      </c>
      <c r="M194" s="202">
        <f>+IF(M3=0,"",M52-M48)</f>
        <v>0.020899999999999988</v>
      </c>
      <c r="N194" s="202">
        <f>+IF(N3=0,"",N52-N48)</f>
        <v>0.034699999999999995</v>
      </c>
      <c r="O194" s="202">
        <f>+IF(O3=0,"",O52-O48)</f>
        <v>0.0471</v>
      </c>
      <c r="P194" s="202">
        <f>+IF(P3=0,"",P52-P48)</f>
        <v>0.055700000000000006</v>
      </c>
      <c r="Q194" s="202">
        <f>+IF(Q3=0,"",Q52-Q48)</f>
        <v>0.0759</v>
      </c>
    </row>
    <row r="195" spans="4:17" ht="14.25" outlineLevel="2">
      <c r="D195" s="191" t="s">
        <v>412</v>
      </c>
      <c r="E195" s="192" t="s">
        <v>8</v>
      </c>
      <c r="F195" s="193" t="s">
        <v>8</v>
      </c>
      <c r="G195" s="193" t="s">
        <v>8</v>
      </c>
      <c r="H195" s="194" t="s">
        <v>8</v>
      </c>
      <c r="I195" s="195">
        <f>+IF(I3=0,"",I53-I47)</f>
        <v>0.029000000000000005</v>
      </c>
      <c r="J195" s="196">
        <f>+IF(J3=0,"",J53-J47)</f>
        <v>0.007400000000000004</v>
      </c>
      <c r="K195" s="196">
        <f>+IF(K3=0,"",K53-K47)</f>
        <v>0.0016000000000000042</v>
      </c>
      <c r="L195" s="196">
        <f>+IF(L3=0,"",L53-L47)</f>
        <v>0.004299999999999991</v>
      </c>
      <c r="M195" s="196">
        <f>+IF(M3=0,"",M53-M47)</f>
        <v>0.020899999999999988</v>
      </c>
      <c r="N195" s="196">
        <f>+IF(N3=0,"",N53-N47)</f>
        <v>0.034699999999999995</v>
      </c>
      <c r="O195" s="196">
        <f>+IF(O3=0,"",O53-O47)</f>
        <v>0.0471</v>
      </c>
      <c r="P195" s="196">
        <f>+IF(P3=0,"",P53-P47)</f>
        <v>0.055700000000000006</v>
      </c>
      <c r="Q195" s="196">
        <f>+IF(Q3=0,"",Q53-Q47)</f>
        <v>0.0759</v>
      </c>
    </row>
    <row r="196" spans="4:17" ht="14.25" outlineLevel="2">
      <c r="D196" s="197" t="s">
        <v>413</v>
      </c>
      <c r="E196" s="198" t="s">
        <v>8</v>
      </c>
      <c r="F196" s="199" t="s">
        <v>8</v>
      </c>
      <c r="G196" s="199" t="s">
        <v>8</v>
      </c>
      <c r="H196" s="200" t="s">
        <v>8</v>
      </c>
      <c r="I196" s="201">
        <f>+IF(I3=0,"",I53-I48)</f>
        <v>0.029000000000000005</v>
      </c>
      <c r="J196" s="202">
        <f>+IF(J3=0,"",J53-J48)</f>
        <v>0.007400000000000004</v>
      </c>
      <c r="K196" s="202">
        <f>+IF(K3=0,"",K53-K48)</f>
        <v>0.0016000000000000042</v>
      </c>
      <c r="L196" s="202">
        <f>+IF(L3=0,"",L53-L48)</f>
        <v>0.004299999999999991</v>
      </c>
      <c r="M196" s="202">
        <f>+IF(M3=0,"",M53-M48)</f>
        <v>0.020899999999999988</v>
      </c>
      <c r="N196" s="202">
        <f>+IF(N3=0,"",N53-N48)</f>
        <v>0.034699999999999995</v>
      </c>
      <c r="O196" s="202">
        <f>+IF(O3=0,"",O53-O48)</f>
        <v>0.0471</v>
      </c>
      <c r="P196" s="202">
        <f>+IF(P3=0,"",P53-P48)</f>
        <v>0.055700000000000006</v>
      </c>
      <c r="Q196" s="202">
        <f>+IF(Q3=0,"",Q53-Q48)</f>
        <v>0.0759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B1:Q115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3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4" t="s">
        <v>414</v>
      </c>
      <c r="C1" s="205"/>
      <c r="D1" s="206"/>
      <c r="E1" s="207"/>
      <c r="F1" s="208" t="s">
        <v>415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2:16" ht="14.25" customHeight="1">
      <c r="B2" s="205" t="s">
        <v>416</v>
      </c>
      <c r="C2" s="205"/>
      <c r="D2" s="206"/>
      <c r="E2" s="207"/>
      <c r="F2" s="208" t="s">
        <v>417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2:16" ht="14.25">
      <c r="B3" s="209" t="s">
        <v>418</v>
      </c>
      <c r="C3" s="205"/>
      <c r="D3" s="206"/>
      <c r="E3" s="207"/>
      <c r="F3" s="210" t="s">
        <v>419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3:10" ht="14.25">
      <c r="C4" s="209"/>
      <c r="D4" s="206"/>
      <c r="E4" s="207"/>
      <c r="F4" s="207"/>
      <c r="G4" s="207"/>
      <c r="H4" s="207"/>
      <c r="I4" s="207"/>
      <c r="J4" s="207"/>
    </row>
    <row r="5" spans="1:256" s="206" customFormat="1" ht="15">
      <c r="A5" s="104"/>
      <c r="B5" s="211" t="s">
        <v>420</v>
      </c>
      <c r="C5" s="104"/>
      <c r="D5" s="212">
        <f>DaneZrodlowe!B4</f>
        <v>0</v>
      </c>
      <c r="E5" s="104"/>
      <c r="F5" s="209"/>
      <c r="G5" s="213"/>
      <c r="H5" s="104"/>
      <c r="I5" s="214">
        <f>D6&amp;" - "&amp;"WPF za lata "&amp;D7&amp;" - Nr Uchwały JST: "&amp;D5</f>
        <v>0</v>
      </c>
      <c r="J5" s="104"/>
      <c r="K5" s="104"/>
      <c r="L5" s="207"/>
      <c r="M5" s="104"/>
      <c r="N5" s="215"/>
      <c r="O5" s="215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IT5" s="104"/>
      <c r="IU5" s="104"/>
      <c r="IV5" s="104"/>
    </row>
    <row r="6" spans="1:256" s="206" customFormat="1" ht="15">
      <c r="A6" s="104"/>
      <c r="B6" s="211" t="s">
        <v>421</v>
      </c>
      <c r="C6" s="104"/>
      <c r="D6" s="216">
        <f>DaneZrodlowe!C4</f>
        <v>0</v>
      </c>
      <c r="E6" s="104"/>
      <c r="F6" s="217"/>
      <c r="G6" s="218"/>
      <c r="H6" s="218"/>
      <c r="I6" s="104"/>
      <c r="J6" s="104"/>
      <c r="K6" s="104"/>
      <c r="L6" s="207"/>
      <c r="M6" s="104"/>
      <c r="N6" s="215"/>
      <c r="O6" s="215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IT6" s="104"/>
      <c r="IU6" s="104"/>
      <c r="IV6" s="104"/>
    </row>
    <row r="7" spans="1:256" s="206" customFormat="1" ht="15">
      <c r="A7" s="104"/>
      <c r="B7" s="219" t="s">
        <v>422</v>
      </c>
      <c r="C7" s="104"/>
      <c r="D7" s="220">
        <f>CONCATENATE(DaneZrodlowe!N1," - ",DaneZrodlowe!Q1)</f>
        <v>0</v>
      </c>
      <c r="E7" s="104"/>
      <c r="F7" s="104"/>
      <c r="G7" s="221"/>
      <c r="H7" s="104"/>
      <c r="I7" s="104"/>
      <c r="J7" s="222" t="s">
        <v>423</v>
      </c>
      <c r="K7" s="113">
        <v>2</v>
      </c>
      <c r="L7" s="104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IT7" s="104"/>
      <c r="IU7" s="104"/>
      <c r="IV7" s="104"/>
    </row>
    <row r="8" spans="1:256" ht="15.75" customHeight="1">
      <c r="A8" s="223"/>
      <c r="D8" s="223"/>
      <c r="E8" s="5" t="s">
        <v>1</v>
      </c>
      <c r="F8" s="5"/>
      <c r="G8" s="5" t="s">
        <v>2</v>
      </c>
      <c r="H8" s="5" t="s">
        <v>1</v>
      </c>
      <c r="I8" s="224">
        <f>""</f>
        <v>0</v>
      </c>
      <c r="J8" s="7"/>
      <c r="K8" s="7"/>
      <c r="L8" s="7"/>
      <c r="M8" s="7"/>
      <c r="IT8" s="223"/>
      <c r="IU8" s="223"/>
      <c r="IV8" s="223"/>
    </row>
    <row r="9" spans="1:256" s="231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5">
        <f>+F9-1</f>
        <v>2013</v>
      </c>
      <c r="F9" s="226">
        <f>+G9-1</f>
        <v>2014</v>
      </c>
      <c r="G9" s="226">
        <f>+H9</f>
        <v>2015</v>
      </c>
      <c r="H9" s="227">
        <f>+I9-1</f>
        <v>2015</v>
      </c>
      <c r="I9" s="228">
        <f>+DaneZrodlowe!$N$1</f>
        <v>2016</v>
      </c>
      <c r="J9" s="229">
        <f>+I9+1</f>
        <v>2017</v>
      </c>
      <c r="K9" s="229">
        <f>+J9+1</f>
        <v>2018</v>
      </c>
      <c r="L9" s="229">
        <f>+K9+1</f>
        <v>2019</v>
      </c>
      <c r="M9" s="229">
        <f>+L9+1</f>
        <v>2020</v>
      </c>
      <c r="N9" s="229">
        <f>+M9+1</f>
        <v>2021</v>
      </c>
      <c r="O9" s="229">
        <f>+N9+1</f>
        <v>2022</v>
      </c>
      <c r="P9" s="229">
        <f>+O9+1</f>
        <v>2023</v>
      </c>
      <c r="Q9" s="229">
        <f>+P9+1</f>
        <v>2024</v>
      </c>
      <c r="R9" s="229">
        <f>+Q9+1</f>
        <v>2025</v>
      </c>
      <c r="S9" s="229">
        <f>+R9+1</f>
        <v>2026</v>
      </c>
      <c r="T9" s="229">
        <f>+S9+1</f>
        <v>2027</v>
      </c>
      <c r="U9" s="229">
        <f>+T9+1</f>
        <v>2028</v>
      </c>
      <c r="V9" s="229">
        <f>+U9+1</f>
        <v>2029</v>
      </c>
      <c r="W9" s="229">
        <f>+V9+1</f>
        <v>2030</v>
      </c>
      <c r="X9" s="229">
        <f>+W9+1</f>
        <v>2031</v>
      </c>
      <c r="Y9" s="229">
        <f>+X9+1</f>
        <v>2032</v>
      </c>
      <c r="Z9" s="229">
        <f>+Y9+1</f>
        <v>2033</v>
      </c>
      <c r="AA9" s="229">
        <f>+Z9+1</f>
        <v>2034</v>
      </c>
      <c r="AB9" s="229">
        <f>+AA9+1</f>
        <v>2035</v>
      </c>
      <c r="AC9" s="229">
        <f>+AB9+1</f>
        <v>2036</v>
      </c>
      <c r="AD9" s="229">
        <f>+AC9+1</f>
        <v>2037</v>
      </c>
      <c r="AE9" s="229">
        <f>+AD9+1</f>
        <v>2038</v>
      </c>
      <c r="AF9" s="229">
        <f>+AE9+1</f>
        <v>2039</v>
      </c>
      <c r="AG9" s="229">
        <f>+AF9+1</f>
        <v>2040</v>
      </c>
      <c r="AH9" s="229">
        <f>+AG9+1</f>
        <v>2041</v>
      </c>
      <c r="AI9" s="229">
        <f>+AH9+1</f>
        <v>2042</v>
      </c>
      <c r="AJ9" s="229">
        <f>+AI9+1</f>
        <v>2043</v>
      </c>
      <c r="AK9" s="229">
        <f>+AJ9+1</f>
        <v>2044</v>
      </c>
      <c r="AL9" s="230">
        <f>+AK9+1</f>
        <v>2045</v>
      </c>
      <c r="IT9" s="232"/>
      <c r="IU9" s="232"/>
      <c r="IV9" s="232"/>
    </row>
    <row r="10" spans="1:38" s="241" customFormat="1" ht="15" outlineLevel="1">
      <c r="A10" s="1" t="s">
        <v>8</v>
      </c>
      <c r="B10" s="233">
        <v>1</v>
      </c>
      <c r="C10" s="234" t="s">
        <v>425</v>
      </c>
      <c r="D10" s="235" t="s">
        <v>9</v>
      </c>
      <c r="E10" s="236">
        <f>'Zał.1_WPF_bazowy'!E3</f>
        <v>36897999.47</v>
      </c>
      <c r="F10" s="237">
        <f>'Zał.1_WPF_bazowy'!F3</f>
        <v>38775186.08</v>
      </c>
      <c r="G10" s="237">
        <f>'Zał.1_WPF_bazowy'!G3</f>
        <v>36552514.89</v>
      </c>
      <c r="H10" s="238">
        <f>+H11+H18</f>
        <v>37229518.089999996</v>
      </c>
      <c r="I10" s="239">
        <f>+I11+I18</f>
        <v>40703030.39</v>
      </c>
      <c r="J10" s="240">
        <f>+J11+J18</f>
        <v>39352887.87</v>
      </c>
      <c r="K10" s="240">
        <f>+K11+K18</f>
        <v>39000000</v>
      </c>
      <c r="L10" s="240">
        <f>+L11+L18</f>
        <v>40000000</v>
      </c>
      <c r="M10" s="240">
        <f>+M11+M18</f>
        <v>41000000</v>
      </c>
      <c r="N10" s="240">
        <f>+N11+N18</f>
        <v>42000000</v>
      </c>
      <c r="O10" s="240">
        <f>+O11+O18</f>
        <v>43000000</v>
      </c>
      <c r="P10" s="240">
        <f>+P11+P18</f>
        <v>44000000</v>
      </c>
      <c r="Q10" s="240">
        <f>+Q11+Q18</f>
        <v>45000000</v>
      </c>
      <c r="R10" s="240" t="e">
        <f>+R11+R18</f>
        <v>#REF!</v>
      </c>
      <c r="S10" s="240" t="e">
        <f>+S11+S18</f>
        <v>#REF!</v>
      </c>
      <c r="T10" s="240" t="e">
        <f>+T11+T18</f>
        <v>#REF!</v>
      </c>
      <c r="U10" s="240" t="e">
        <f>+U11+U18</f>
        <v>#REF!</v>
      </c>
      <c r="V10" s="240" t="e">
        <f>+V11+V18</f>
        <v>#REF!</v>
      </c>
      <c r="W10" s="240" t="e">
        <f>+W11+W18</f>
        <v>#REF!</v>
      </c>
      <c r="X10" s="240" t="e">
        <f>+X11+X18</f>
        <v>#REF!</v>
      </c>
      <c r="Y10" s="240" t="e">
        <f>+Y11+Y18</f>
        <v>#REF!</v>
      </c>
      <c r="Z10" s="240" t="e">
        <f>+Z11+Z18</f>
        <v>#REF!</v>
      </c>
      <c r="AA10" s="240" t="e">
        <f>+AA11+AA18</f>
        <v>#REF!</v>
      </c>
      <c r="AB10" s="240" t="e">
        <f>+AB11+AB18</f>
        <v>#REF!</v>
      </c>
      <c r="AC10" s="240" t="e">
        <f>+AC11+AC18</f>
        <v>#REF!</v>
      </c>
      <c r="AD10" s="240" t="e">
        <f>+AD11+AD18</f>
        <v>#REF!</v>
      </c>
      <c r="AE10" s="240" t="e">
        <f>+AE11+AE18</f>
        <v>#REF!</v>
      </c>
      <c r="AF10" s="240" t="e">
        <f>+AF11+AF18</f>
        <v>#REF!</v>
      </c>
      <c r="AG10" s="240" t="e">
        <f>+AG11+AG18</f>
        <v>#REF!</v>
      </c>
      <c r="AH10" s="240" t="e">
        <f>+AH11+AH18</f>
        <v>#REF!</v>
      </c>
      <c r="AI10" s="240" t="e">
        <f>+AI11+AI18</f>
        <v>#REF!</v>
      </c>
      <c r="AJ10" s="240" t="e">
        <f>+AJ11+AJ18</f>
        <v>#REF!</v>
      </c>
      <c r="AK10" s="240" t="e">
        <f>+AK11+AK18</f>
        <v>#REF!</v>
      </c>
      <c r="AL10" s="238" t="e">
        <f>+AL11+AL18</f>
        <v>#REF!</v>
      </c>
    </row>
    <row r="11" spans="1:38" ht="14.25" outlineLevel="2">
      <c r="A11" s="1" t="s">
        <v>8</v>
      </c>
      <c r="B11" s="242" t="s">
        <v>10</v>
      </c>
      <c r="C11" s="243"/>
      <c r="D11" s="244" t="s">
        <v>12</v>
      </c>
      <c r="E11" s="245">
        <f>'Zał.1_WPF_bazowy'!E4</f>
        <v>32301173.26</v>
      </c>
      <c r="F11" s="246">
        <f>'Zał.1_WPF_bazowy'!F4</f>
        <v>34105017.52</v>
      </c>
      <c r="G11" s="246">
        <f>'Zał.1_WPF_bazowy'!G4</f>
        <v>33742971.45</v>
      </c>
      <c r="H11" s="247">
        <f>'Zał.1_WPF_bazowy'!H4</f>
        <v>34353903.41</v>
      </c>
      <c r="I11" s="248">
        <f>+'Zał.1_WPF_bazowy'!I4</f>
        <v>39633965.86</v>
      </c>
      <c r="J11" s="249">
        <f>+'Zał.1_WPF_bazowy'!J4</f>
        <v>38100000</v>
      </c>
      <c r="K11" s="249">
        <f>+'Zał.1_WPF_bazowy'!K4</f>
        <v>39000000</v>
      </c>
      <c r="L11" s="249">
        <f>+'Zał.1_WPF_bazowy'!L4</f>
        <v>40000000</v>
      </c>
      <c r="M11" s="249">
        <f>+'Zał.1_WPF_bazowy'!M4</f>
        <v>41000000</v>
      </c>
      <c r="N11" s="249">
        <f>+'Zał.1_WPF_bazowy'!N4</f>
        <v>42000000</v>
      </c>
      <c r="O11" s="249">
        <f>+'Zał.1_WPF_bazowy'!O4</f>
        <v>43000000</v>
      </c>
      <c r="P11" s="249">
        <f>+'Zał.1_WPF_bazowy'!P4</f>
        <v>44000000</v>
      </c>
      <c r="Q11" s="249">
        <f>+'Zał.1_WPF_bazowy'!Q4</f>
        <v>45000000</v>
      </c>
      <c r="R11" s="249" t="e">
        <f>+'Zał.1_WPF_bazowy'!#REF!</f>
        <v>#REF!</v>
      </c>
      <c r="S11" s="249" t="e">
        <f>+'Zał.1_WPF_bazowy'!#REF!</f>
        <v>#REF!</v>
      </c>
      <c r="T11" s="249" t="e">
        <f>+'Zał.1_WPF_bazowy'!#REF!</f>
        <v>#REF!</v>
      </c>
      <c r="U11" s="249" t="e">
        <f>+'Zał.1_WPF_bazowy'!#REF!</f>
        <v>#REF!</v>
      </c>
      <c r="V11" s="249" t="e">
        <f>+'Zał.1_WPF_bazowy'!#REF!</f>
        <v>#REF!</v>
      </c>
      <c r="W11" s="249" t="e">
        <f>+'Zał.1_WPF_bazowy'!#REF!</f>
        <v>#REF!</v>
      </c>
      <c r="X11" s="249" t="e">
        <f>+'Zał.1_WPF_bazowy'!#REF!</f>
        <v>#REF!</v>
      </c>
      <c r="Y11" s="249" t="e">
        <f>+'Zał.1_WPF_bazowy'!#REF!</f>
        <v>#REF!</v>
      </c>
      <c r="Z11" s="249" t="e">
        <f>+'Zał.1_WPF_bazowy'!#REF!</f>
        <v>#REF!</v>
      </c>
      <c r="AA11" s="249" t="e">
        <f>+'Zał.1_WPF_bazowy'!#REF!</f>
        <v>#REF!</v>
      </c>
      <c r="AB11" s="249" t="e">
        <f>+'Zał.1_WPF_bazowy'!#REF!</f>
        <v>#REF!</v>
      </c>
      <c r="AC11" s="249" t="e">
        <f>+'Zał.1_WPF_bazowy'!#REF!</f>
        <v>#REF!</v>
      </c>
      <c r="AD11" s="249" t="e">
        <f>+'Zał.1_WPF_bazowy'!#REF!</f>
        <v>#REF!</v>
      </c>
      <c r="AE11" s="249" t="e">
        <f>+'Zał.1_WPF_bazowy'!#REF!</f>
        <v>#REF!</v>
      </c>
      <c r="AF11" s="249" t="e">
        <f>+'Zał.1_WPF_bazowy'!#REF!</f>
        <v>#REF!</v>
      </c>
      <c r="AG11" s="249" t="e">
        <f>+'Zał.1_WPF_bazowy'!#REF!</f>
        <v>#REF!</v>
      </c>
      <c r="AH11" s="249" t="e">
        <f>+'Zał.1_WPF_bazowy'!#REF!</f>
        <v>#REF!</v>
      </c>
      <c r="AI11" s="249" t="e">
        <f>+'Zał.1_WPF_bazowy'!#REF!</f>
        <v>#REF!</v>
      </c>
      <c r="AJ11" s="249" t="e">
        <f>+'Zał.1_WPF_bazowy'!#REF!</f>
        <v>#REF!</v>
      </c>
      <c r="AK11" s="249" t="e">
        <f>+'Zał.1_WPF_bazowy'!#REF!</f>
        <v>#REF!</v>
      </c>
      <c r="AL11" s="250" t="e">
        <f>+'Zał.1_WPF_bazowy'!#REF!</f>
        <v>#REF!</v>
      </c>
    </row>
    <row r="12" spans="1:38" ht="14.25" outlineLevel="2">
      <c r="A12" s="1"/>
      <c r="B12" s="242" t="s">
        <v>13</v>
      </c>
      <c r="C12" s="243"/>
      <c r="D12" s="251" t="s">
        <v>15</v>
      </c>
      <c r="E12" s="245">
        <f>'Zał.1_WPF_bazowy'!E5</f>
        <v>6476099</v>
      </c>
      <c r="F12" s="246">
        <f>'Zał.1_WPF_bazowy'!F5</f>
        <v>7136023</v>
      </c>
      <c r="G12" s="246">
        <f>'Zał.1_WPF_bazowy'!G5</f>
        <v>7700000</v>
      </c>
      <c r="H12" s="247">
        <f>'Zał.1_WPF_bazowy'!H5</f>
        <v>7843520</v>
      </c>
      <c r="I12" s="248">
        <f>+'Zał.1_WPF_bazowy'!I5</f>
        <v>8464000</v>
      </c>
      <c r="J12" s="249">
        <f>+'Zał.1_WPF_bazowy'!J5</f>
        <v>9000000</v>
      </c>
      <c r="K12" s="249">
        <f>+'Zał.1_WPF_bazowy'!K5</f>
        <v>9500000</v>
      </c>
      <c r="L12" s="249">
        <f>+'Zał.1_WPF_bazowy'!L5</f>
        <v>10000000</v>
      </c>
      <c r="M12" s="249">
        <f>+'Zał.1_WPF_bazowy'!M5</f>
        <v>0</v>
      </c>
      <c r="N12" s="249">
        <f>+'Zał.1_WPF_bazowy'!N5</f>
        <v>0</v>
      </c>
      <c r="O12" s="249">
        <f>+'Zał.1_WPF_bazowy'!O5</f>
        <v>0</v>
      </c>
      <c r="P12" s="249">
        <f>+'Zał.1_WPF_bazowy'!P5</f>
        <v>0</v>
      </c>
      <c r="Q12" s="249">
        <f>+'Zał.1_WPF_bazowy'!Q5</f>
        <v>0</v>
      </c>
      <c r="R12" s="249" t="e">
        <f>+'Zał.1_WPF_bazowy'!#REF!</f>
        <v>#REF!</v>
      </c>
      <c r="S12" s="249" t="e">
        <f>+'Zał.1_WPF_bazowy'!#REF!</f>
        <v>#REF!</v>
      </c>
      <c r="T12" s="249" t="e">
        <f>+'Zał.1_WPF_bazowy'!#REF!</f>
        <v>#REF!</v>
      </c>
      <c r="U12" s="249" t="e">
        <f>+'Zał.1_WPF_bazowy'!#REF!</f>
        <v>#REF!</v>
      </c>
      <c r="V12" s="249" t="e">
        <f>+'Zał.1_WPF_bazowy'!#REF!</f>
        <v>#REF!</v>
      </c>
      <c r="W12" s="249" t="e">
        <f>+'Zał.1_WPF_bazowy'!#REF!</f>
        <v>#REF!</v>
      </c>
      <c r="X12" s="249" t="e">
        <f>+'Zał.1_WPF_bazowy'!#REF!</f>
        <v>#REF!</v>
      </c>
      <c r="Y12" s="249" t="e">
        <f>+'Zał.1_WPF_bazowy'!#REF!</f>
        <v>#REF!</v>
      </c>
      <c r="Z12" s="249" t="e">
        <f>+'Zał.1_WPF_bazowy'!#REF!</f>
        <v>#REF!</v>
      </c>
      <c r="AA12" s="249" t="e">
        <f>+'Zał.1_WPF_bazowy'!#REF!</f>
        <v>#REF!</v>
      </c>
      <c r="AB12" s="249" t="e">
        <f>+'Zał.1_WPF_bazowy'!#REF!</f>
        <v>#REF!</v>
      </c>
      <c r="AC12" s="249" t="e">
        <f>+'Zał.1_WPF_bazowy'!#REF!</f>
        <v>#REF!</v>
      </c>
      <c r="AD12" s="249" t="e">
        <f>+'Zał.1_WPF_bazowy'!#REF!</f>
        <v>#REF!</v>
      </c>
      <c r="AE12" s="249" t="e">
        <f>+'Zał.1_WPF_bazowy'!#REF!</f>
        <v>#REF!</v>
      </c>
      <c r="AF12" s="249" t="e">
        <f>+'Zał.1_WPF_bazowy'!#REF!</f>
        <v>#REF!</v>
      </c>
      <c r="AG12" s="249" t="e">
        <f>+'Zał.1_WPF_bazowy'!#REF!</f>
        <v>#REF!</v>
      </c>
      <c r="AH12" s="249" t="e">
        <f>+'Zał.1_WPF_bazowy'!#REF!</f>
        <v>#REF!</v>
      </c>
      <c r="AI12" s="249" t="e">
        <f>+'Zał.1_WPF_bazowy'!#REF!</f>
        <v>#REF!</v>
      </c>
      <c r="AJ12" s="249" t="e">
        <f>+'Zał.1_WPF_bazowy'!#REF!</f>
        <v>#REF!</v>
      </c>
      <c r="AK12" s="249" t="e">
        <f>+'Zał.1_WPF_bazowy'!#REF!</f>
        <v>#REF!</v>
      </c>
      <c r="AL12" s="250" t="e">
        <f>+'Zał.1_WPF_bazowy'!#REF!</f>
        <v>#REF!</v>
      </c>
    </row>
    <row r="13" spans="1:38" ht="14.25" outlineLevel="2">
      <c r="A13" s="1"/>
      <c r="B13" s="242" t="s">
        <v>16</v>
      </c>
      <c r="C13" s="243"/>
      <c r="D13" s="251" t="s">
        <v>18</v>
      </c>
      <c r="E13" s="245">
        <f>'Zał.1_WPF_bazowy'!E6</f>
        <v>175600.93</v>
      </c>
      <c r="F13" s="246">
        <f>'Zał.1_WPF_bazowy'!F6</f>
        <v>175787.56</v>
      </c>
      <c r="G13" s="246">
        <f>'Zał.1_WPF_bazowy'!G6</f>
        <v>140000</v>
      </c>
      <c r="H13" s="247">
        <f>'Zał.1_WPF_bazowy'!H6</f>
        <v>103587.11</v>
      </c>
      <c r="I13" s="248">
        <f>+'Zał.1_WPF_bazowy'!I6</f>
        <v>140000</v>
      </c>
      <c r="J13" s="249">
        <f>+'Zał.1_WPF_bazowy'!J6</f>
        <v>140000</v>
      </c>
      <c r="K13" s="249">
        <f>+'Zał.1_WPF_bazowy'!K6</f>
        <v>140000</v>
      </c>
      <c r="L13" s="249">
        <f>+'Zał.1_WPF_bazowy'!L6</f>
        <v>140000</v>
      </c>
      <c r="M13" s="249">
        <f>+'Zał.1_WPF_bazowy'!M6</f>
        <v>0</v>
      </c>
      <c r="N13" s="249">
        <f>+'Zał.1_WPF_bazowy'!N6</f>
        <v>0</v>
      </c>
      <c r="O13" s="249">
        <f>+'Zał.1_WPF_bazowy'!O6</f>
        <v>0</v>
      </c>
      <c r="P13" s="249">
        <f>+'Zał.1_WPF_bazowy'!P6</f>
        <v>0</v>
      </c>
      <c r="Q13" s="249">
        <f>+'Zał.1_WPF_bazowy'!Q6</f>
        <v>0</v>
      </c>
      <c r="R13" s="249" t="e">
        <f>+'Zał.1_WPF_bazowy'!#REF!</f>
        <v>#REF!</v>
      </c>
      <c r="S13" s="249" t="e">
        <f>+'Zał.1_WPF_bazowy'!#REF!</f>
        <v>#REF!</v>
      </c>
      <c r="T13" s="249" t="e">
        <f>+'Zał.1_WPF_bazowy'!#REF!</f>
        <v>#REF!</v>
      </c>
      <c r="U13" s="249" t="e">
        <f>+'Zał.1_WPF_bazowy'!#REF!</f>
        <v>#REF!</v>
      </c>
      <c r="V13" s="249" t="e">
        <f>+'Zał.1_WPF_bazowy'!#REF!</f>
        <v>#REF!</v>
      </c>
      <c r="W13" s="249" t="e">
        <f>+'Zał.1_WPF_bazowy'!#REF!</f>
        <v>#REF!</v>
      </c>
      <c r="X13" s="249" t="e">
        <f>+'Zał.1_WPF_bazowy'!#REF!</f>
        <v>#REF!</v>
      </c>
      <c r="Y13" s="249" t="e">
        <f>+'Zał.1_WPF_bazowy'!#REF!</f>
        <v>#REF!</v>
      </c>
      <c r="Z13" s="249" t="e">
        <f>+'Zał.1_WPF_bazowy'!#REF!</f>
        <v>#REF!</v>
      </c>
      <c r="AA13" s="249" t="e">
        <f>+'Zał.1_WPF_bazowy'!#REF!</f>
        <v>#REF!</v>
      </c>
      <c r="AB13" s="249" t="e">
        <f>+'Zał.1_WPF_bazowy'!#REF!</f>
        <v>#REF!</v>
      </c>
      <c r="AC13" s="249" t="e">
        <f>+'Zał.1_WPF_bazowy'!#REF!</f>
        <v>#REF!</v>
      </c>
      <c r="AD13" s="249" t="e">
        <f>+'Zał.1_WPF_bazowy'!#REF!</f>
        <v>#REF!</v>
      </c>
      <c r="AE13" s="249" t="e">
        <f>+'Zał.1_WPF_bazowy'!#REF!</f>
        <v>#REF!</v>
      </c>
      <c r="AF13" s="249" t="e">
        <f>+'Zał.1_WPF_bazowy'!#REF!</f>
        <v>#REF!</v>
      </c>
      <c r="AG13" s="249" t="e">
        <f>+'Zał.1_WPF_bazowy'!#REF!</f>
        <v>#REF!</v>
      </c>
      <c r="AH13" s="249" t="e">
        <f>+'Zał.1_WPF_bazowy'!#REF!</f>
        <v>#REF!</v>
      </c>
      <c r="AI13" s="249" t="e">
        <f>+'Zał.1_WPF_bazowy'!#REF!</f>
        <v>#REF!</v>
      </c>
      <c r="AJ13" s="249" t="e">
        <f>+'Zał.1_WPF_bazowy'!#REF!</f>
        <v>#REF!</v>
      </c>
      <c r="AK13" s="249" t="e">
        <f>+'Zał.1_WPF_bazowy'!#REF!</f>
        <v>#REF!</v>
      </c>
      <c r="AL13" s="250" t="e">
        <f>+'Zał.1_WPF_bazowy'!#REF!</f>
        <v>#REF!</v>
      </c>
    </row>
    <row r="14" spans="1:38" ht="14.25" outlineLevel="2">
      <c r="A14" s="1"/>
      <c r="B14" s="242" t="s">
        <v>19</v>
      </c>
      <c r="C14" s="243"/>
      <c r="D14" s="251" t="s">
        <v>21</v>
      </c>
      <c r="E14" s="245">
        <f>'Zał.1_WPF_bazowy'!E7</f>
        <v>5289523.02</v>
      </c>
      <c r="F14" s="246">
        <f>'Zał.1_WPF_bazowy'!F7</f>
        <v>7010289.27</v>
      </c>
      <c r="G14" s="246">
        <f>'Zał.1_WPF_bazowy'!G7</f>
        <v>7628751</v>
      </c>
      <c r="H14" s="247">
        <f>'Zał.1_WPF_bazowy'!H7</f>
        <v>7671198.75</v>
      </c>
      <c r="I14" s="248">
        <f>+'Zał.1_WPF_bazowy'!I7</f>
        <v>7404441.02</v>
      </c>
      <c r="J14" s="249">
        <f>+'Zał.1_WPF_bazowy'!J7</f>
        <v>7400000</v>
      </c>
      <c r="K14" s="249">
        <f>+'Zał.1_WPF_bazowy'!K7</f>
        <v>7400000</v>
      </c>
      <c r="L14" s="249">
        <f>+'Zał.1_WPF_bazowy'!L7</f>
        <v>7500000</v>
      </c>
      <c r="M14" s="249">
        <f>+'Zał.1_WPF_bazowy'!M7</f>
        <v>0</v>
      </c>
      <c r="N14" s="249">
        <f>+'Zał.1_WPF_bazowy'!N7</f>
        <v>0</v>
      </c>
      <c r="O14" s="249">
        <f>+'Zał.1_WPF_bazowy'!O7</f>
        <v>0</v>
      </c>
      <c r="P14" s="249">
        <f>+'Zał.1_WPF_bazowy'!P7</f>
        <v>0</v>
      </c>
      <c r="Q14" s="249">
        <f>+'Zał.1_WPF_bazowy'!Q7</f>
        <v>0</v>
      </c>
      <c r="R14" s="249" t="e">
        <f>+'Zał.1_WPF_bazowy'!#REF!</f>
        <v>#REF!</v>
      </c>
      <c r="S14" s="249" t="e">
        <f>+'Zał.1_WPF_bazowy'!#REF!</f>
        <v>#REF!</v>
      </c>
      <c r="T14" s="249" t="e">
        <f>+'Zał.1_WPF_bazowy'!#REF!</f>
        <v>#REF!</v>
      </c>
      <c r="U14" s="249" t="e">
        <f>+'Zał.1_WPF_bazowy'!#REF!</f>
        <v>#REF!</v>
      </c>
      <c r="V14" s="249" t="e">
        <f>+'Zał.1_WPF_bazowy'!#REF!</f>
        <v>#REF!</v>
      </c>
      <c r="W14" s="249" t="e">
        <f>+'Zał.1_WPF_bazowy'!#REF!</f>
        <v>#REF!</v>
      </c>
      <c r="X14" s="249" t="e">
        <f>+'Zał.1_WPF_bazowy'!#REF!</f>
        <v>#REF!</v>
      </c>
      <c r="Y14" s="249" t="e">
        <f>+'Zał.1_WPF_bazowy'!#REF!</f>
        <v>#REF!</v>
      </c>
      <c r="Z14" s="249" t="e">
        <f>+'Zał.1_WPF_bazowy'!#REF!</f>
        <v>#REF!</v>
      </c>
      <c r="AA14" s="249" t="e">
        <f>+'Zał.1_WPF_bazowy'!#REF!</f>
        <v>#REF!</v>
      </c>
      <c r="AB14" s="249" t="e">
        <f>+'Zał.1_WPF_bazowy'!#REF!</f>
        <v>#REF!</v>
      </c>
      <c r="AC14" s="249" t="e">
        <f>+'Zał.1_WPF_bazowy'!#REF!</f>
        <v>#REF!</v>
      </c>
      <c r="AD14" s="249" t="e">
        <f>+'Zał.1_WPF_bazowy'!#REF!</f>
        <v>#REF!</v>
      </c>
      <c r="AE14" s="249" t="e">
        <f>+'Zał.1_WPF_bazowy'!#REF!</f>
        <v>#REF!</v>
      </c>
      <c r="AF14" s="249" t="e">
        <f>+'Zał.1_WPF_bazowy'!#REF!</f>
        <v>#REF!</v>
      </c>
      <c r="AG14" s="249" t="e">
        <f>+'Zał.1_WPF_bazowy'!#REF!</f>
        <v>#REF!</v>
      </c>
      <c r="AH14" s="249" t="e">
        <f>+'Zał.1_WPF_bazowy'!#REF!</f>
        <v>#REF!</v>
      </c>
      <c r="AI14" s="249" t="e">
        <f>+'Zał.1_WPF_bazowy'!#REF!</f>
        <v>#REF!</v>
      </c>
      <c r="AJ14" s="249" t="e">
        <f>+'Zał.1_WPF_bazowy'!#REF!</f>
        <v>#REF!</v>
      </c>
      <c r="AK14" s="249" t="e">
        <f>+'Zał.1_WPF_bazowy'!#REF!</f>
        <v>#REF!</v>
      </c>
      <c r="AL14" s="250" t="e">
        <f>+'Zał.1_WPF_bazowy'!#REF!</f>
        <v>#REF!</v>
      </c>
    </row>
    <row r="15" spans="1:38" ht="14.25" outlineLevel="2">
      <c r="A15" s="1"/>
      <c r="B15" s="242" t="s">
        <v>22</v>
      </c>
      <c r="C15" s="243"/>
      <c r="D15" s="252" t="s">
        <v>24</v>
      </c>
      <c r="E15" s="245">
        <f>'Zał.1_WPF_bazowy'!E8</f>
        <v>3824840.21</v>
      </c>
      <c r="F15" s="246">
        <f>'Zał.1_WPF_bazowy'!F8</f>
        <v>4237030.5</v>
      </c>
      <c r="G15" s="246">
        <f>'Zał.1_WPF_bazowy'!G8</f>
        <v>4756505</v>
      </c>
      <c r="H15" s="247">
        <f>'Zał.1_WPF_bazowy'!H8</f>
        <v>4945027.31</v>
      </c>
      <c r="I15" s="248">
        <f>+'Zał.1_WPF_bazowy'!I8</f>
        <v>4468220</v>
      </c>
      <c r="J15" s="249">
        <f>+'Zał.1_WPF_bazowy'!J8</f>
        <v>4500000</v>
      </c>
      <c r="K15" s="249">
        <f>+'Zał.1_WPF_bazowy'!K8</f>
        <v>4600000</v>
      </c>
      <c r="L15" s="249">
        <f>+'Zał.1_WPF_bazowy'!L8</f>
        <v>4700000</v>
      </c>
      <c r="M15" s="249">
        <f>+'Zał.1_WPF_bazowy'!M8</f>
        <v>0</v>
      </c>
      <c r="N15" s="249">
        <f>+'Zał.1_WPF_bazowy'!N8</f>
        <v>0</v>
      </c>
      <c r="O15" s="249">
        <f>+'Zał.1_WPF_bazowy'!O8</f>
        <v>0</v>
      </c>
      <c r="P15" s="249">
        <f>+'Zał.1_WPF_bazowy'!P8</f>
        <v>0</v>
      </c>
      <c r="Q15" s="249">
        <f>+'Zał.1_WPF_bazowy'!Q8</f>
        <v>0</v>
      </c>
      <c r="R15" s="249" t="e">
        <f>+'Zał.1_WPF_bazowy'!#REF!</f>
        <v>#REF!</v>
      </c>
      <c r="S15" s="249" t="e">
        <f>+'Zał.1_WPF_bazowy'!#REF!</f>
        <v>#REF!</v>
      </c>
      <c r="T15" s="249" t="e">
        <f>+'Zał.1_WPF_bazowy'!#REF!</f>
        <v>#REF!</v>
      </c>
      <c r="U15" s="249" t="e">
        <f>+'Zał.1_WPF_bazowy'!#REF!</f>
        <v>#REF!</v>
      </c>
      <c r="V15" s="249" t="e">
        <f>+'Zał.1_WPF_bazowy'!#REF!</f>
        <v>#REF!</v>
      </c>
      <c r="W15" s="249" t="e">
        <f>+'Zał.1_WPF_bazowy'!#REF!</f>
        <v>#REF!</v>
      </c>
      <c r="X15" s="249" t="e">
        <f>+'Zał.1_WPF_bazowy'!#REF!</f>
        <v>#REF!</v>
      </c>
      <c r="Y15" s="249" t="e">
        <f>+'Zał.1_WPF_bazowy'!#REF!</f>
        <v>#REF!</v>
      </c>
      <c r="Z15" s="249" t="e">
        <f>+'Zał.1_WPF_bazowy'!#REF!</f>
        <v>#REF!</v>
      </c>
      <c r="AA15" s="249" t="e">
        <f>+'Zał.1_WPF_bazowy'!#REF!</f>
        <v>#REF!</v>
      </c>
      <c r="AB15" s="249" t="e">
        <f>+'Zał.1_WPF_bazowy'!#REF!</f>
        <v>#REF!</v>
      </c>
      <c r="AC15" s="249" t="e">
        <f>+'Zał.1_WPF_bazowy'!#REF!</f>
        <v>#REF!</v>
      </c>
      <c r="AD15" s="249" t="e">
        <f>+'Zał.1_WPF_bazowy'!#REF!</f>
        <v>#REF!</v>
      </c>
      <c r="AE15" s="249" t="e">
        <f>+'Zał.1_WPF_bazowy'!#REF!</f>
        <v>#REF!</v>
      </c>
      <c r="AF15" s="249" t="e">
        <f>+'Zał.1_WPF_bazowy'!#REF!</f>
        <v>#REF!</v>
      </c>
      <c r="AG15" s="249" t="e">
        <f>+'Zał.1_WPF_bazowy'!#REF!</f>
        <v>#REF!</v>
      </c>
      <c r="AH15" s="249" t="e">
        <f>+'Zał.1_WPF_bazowy'!#REF!</f>
        <v>#REF!</v>
      </c>
      <c r="AI15" s="249" t="e">
        <f>+'Zał.1_WPF_bazowy'!#REF!</f>
        <v>#REF!</v>
      </c>
      <c r="AJ15" s="249" t="e">
        <f>+'Zał.1_WPF_bazowy'!#REF!</f>
        <v>#REF!</v>
      </c>
      <c r="AK15" s="249" t="e">
        <f>+'Zał.1_WPF_bazowy'!#REF!</f>
        <v>#REF!</v>
      </c>
      <c r="AL15" s="250" t="e">
        <f>+'Zał.1_WPF_bazowy'!#REF!</f>
        <v>#REF!</v>
      </c>
    </row>
    <row r="16" spans="1:256" ht="15" outlineLevel="2">
      <c r="A16" s="1"/>
      <c r="B16" s="242" t="s">
        <v>25</v>
      </c>
      <c r="C16" s="243"/>
      <c r="D16" s="251" t="s">
        <v>27</v>
      </c>
      <c r="E16" s="245">
        <f>'Zał.1_WPF_bazowy'!E9</f>
        <v>7466452</v>
      </c>
      <c r="F16" s="246">
        <f>'Zał.1_WPF_bazowy'!F9</f>
        <v>8308307</v>
      </c>
      <c r="G16" s="246">
        <f>'Zał.1_WPF_bazowy'!G9</f>
        <v>9112541</v>
      </c>
      <c r="H16" s="247">
        <f>'Zał.1_WPF_bazowy'!H9</f>
        <v>9112541</v>
      </c>
      <c r="I16" s="248">
        <f>+'Zał.1_WPF_bazowy'!I9</f>
        <v>9129602</v>
      </c>
      <c r="J16" s="249">
        <f>+'Zał.1_WPF_bazowy'!J9</f>
        <v>9300000</v>
      </c>
      <c r="K16" s="249">
        <f>+'Zał.1_WPF_bazowy'!K9</f>
        <v>9400000</v>
      </c>
      <c r="L16" s="249">
        <f>+'Zał.1_WPF_bazowy'!L9</f>
        <v>9500000</v>
      </c>
      <c r="M16" s="249">
        <f>+'Zał.1_WPF_bazowy'!M9</f>
        <v>0</v>
      </c>
      <c r="N16" s="249">
        <f>+'Zał.1_WPF_bazowy'!N9</f>
        <v>0</v>
      </c>
      <c r="O16" s="249">
        <f>+'Zał.1_WPF_bazowy'!O9</f>
        <v>0</v>
      </c>
      <c r="P16" s="249">
        <f>+'Zał.1_WPF_bazowy'!P9</f>
        <v>0</v>
      </c>
      <c r="Q16" s="249">
        <f>+'Zał.1_WPF_bazowy'!Q9</f>
        <v>0</v>
      </c>
      <c r="R16" s="249" t="e">
        <f>+'Zał.1_WPF_bazowy'!#REF!</f>
        <v>#REF!</v>
      </c>
      <c r="S16" s="249" t="e">
        <f>+'Zał.1_WPF_bazowy'!#REF!</f>
        <v>#REF!</v>
      </c>
      <c r="T16" s="249" t="e">
        <f>+'Zał.1_WPF_bazowy'!#REF!</f>
        <v>#REF!</v>
      </c>
      <c r="U16" s="249" t="e">
        <f>+'Zał.1_WPF_bazowy'!#REF!</f>
        <v>#REF!</v>
      </c>
      <c r="V16" s="249" t="e">
        <f>+'Zał.1_WPF_bazowy'!#REF!</f>
        <v>#REF!</v>
      </c>
      <c r="W16" s="249" t="e">
        <f>+'Zał.1_WPF_bazowy'!#REF!</f>
        <v>#REF!</v>
      </c>
      <c r="X16" s="249" t="e">
        <f>+'Zał.1_WPF_bazowy'!#REF!</f>
        <v>#REF!</v>
      </c>
      <c r="Y16" s="249" t="e">
        <f>+'Zał.1_WPF_bazowy'!#REF!</f>
        <v>#REF!</v>
      </c>
      <c r="Z16" s="249" t="e">
        <f>+'Zał.1_WPF_bazowy'!#REF!</f>
        <v>#REF!</v>
      </c>
      <c r="AA16" s="249" t="e">
        <f>+'Zał.1_WPF_bazowy'!#REF!</f>
        <v>#REF!</v>
      </c>
      <c r="AB16" s="249" t="e">
        <f>+'Zał.1_WPF_bazowy'!#REF!</f>
        <v>#REF!</v>
      </c>
      <c r="AC16" s="249" t="e">
        <f>+'Zał.1_WPF_bazowy'!#REF!</f>
        <v>#REF!</v>
      </c>
      <c r="AD16" s="249" t="e">
        <f>+'Zał.1_WPF_bazowy'!#REF!</f>
        <v>#REF!</v>
      </c>
      <c r="AE16" s="249" t="e">
        <f>+'Zał.1_WPF_bazowy'!#REF!</f>
        <v>#REF!</v>
      </c>
      <c r="AF16" s="249" t="e">
        <f>+'Zał.1_WPF_bazowy'!#REF!</f>
        <v>#REF!</v>
      </c>
      <c r="AG16" s="249" t="e">
        <f>+'Zał.1_WPF_bazowy'!#REF!</f>
        <v>#REF!</v>
      </c>
      <c r="AH16" s="249" t="e">
        <f>+'Zał.1_WPF_bazowy'!#REF!</f>
        <v>#REF!</v>
      </c>
      <c r="AI16" s="249" t="e">
        <f>+'Zał.1_WPF_bazowy'!#REF!</f>
        <v>#REF!</v>
      </c>
      <c r="AJ16" s="249" t="e">
        <f>+'Zał.1_WPF_bazowy'!#REF!</f>
        <v>#REF!</v>
      </c>
      <c r="AK16" s="249" t="e">
        <f>+'Zał.1_WPF_bazowy'!#REF!</f>
        <v>#REF!</v>
      </c>
      <c r="AL16" s="250" t="e">
        <f>+'Zał.1_WPF_bazowy'!#REF!</f>
        <v>#REF!</v>
      </c>
      <c r="IT16" s="223"/>
      <c r="IU16" s="223"/>
      <c r="IV16" s="223"/>
    </row>
    <row r="17" spans="1:256" ht="14.25" outlineLevel="2">
      <c r="A17" s="1"/>
      <c r="B17" s="242" t="s">
        <v>28</v>
      </c>
      <c r="C17" s="243"/>
      <c r="D17" s="251" t="s">
        <v>30</v>
      </c>
      <c r="E17" s="245">
        <f>'Zał.1_WPF_bazowy'!E10</f>
        <v>8685748.05</v>
      </c>
      <c r="F17" s="246">
        <f>'Zał.1_WPF_bazowy'!F10</f>
        <v>8330252.43</v>
      </c>
      <c r="G17" s="246">
        <f>'Zał.1_WPF_bazowy'!G10</f>
        <v>6570203.45</v>
      </c>
      <c r="H17" s="247">
        <f>'Zał.1_WPF_bazowy'!H10</f>
        <v>6575959.99</v>
      </c>
      <c r="I17" s="248">
        <f>+'Zał.1_WPF_bazowy'!I10</f>
        <v>12188353.84</v>
      </c>
      <c r="J17" s="249">
        <f>+'Zał.1_WPF_bazowy'!J10</f>
        <v>10211792</v>
      </c>
      <c r="K17" s="249">
        <f>+'Zał.1_WPF_bazowy'!K10</f>
        <v>10300000</v>
      </c>
      <c r="L17" s="249">
        <f>+'Zał.1_WPF_bazowy'!L10</f>
        <v>10400000</v>
      </c>
      <c r="M17" s="249">
        <f>+'Zał.1_WPF_bazowy'!M10</f>
        <v>0</v>
      </c>
      <c r="N17" s="249">
        <f>+'Zał.1_WPF_bazowy'!N10</f>
        <v>0</v>
      </c>
      <c r="O17" s="249">
        <f>+'Zał.1_WPF_bazowy'!O10</f>
        <v>0</v>
      </c>
      <c r="P17" s="249">
        <f>+'Zał.1_WPF_bazowy'!P10</f>
        <v>0</v>
      </c>
      <c r="Q17" s="249">
        <f>+'Zał.1_WPF_bazowy'!Q10</f>
        <v>0</v>
      </c>
      <c r="R17" s="249" t="e">
        <f>+'Zał.1_WPF_bazowy'!#REF!</f>
        <v>#REF!</v>
      </c>
      <c r="S17" s="249" t="e">
        <f>+'Zał.1_WPF_bazowy'!#REF!</f>
        <v>#REF!</v>
      </c>
      <c r="T17" s="249" t="e">
        <f>+'Zał.1_WPF_bazowy'!#REF!</f>
        <v>#REF!</v>
      </c>
      <c r="U17" s="249" t="e">
        <f>+'Zał.1_WPF_bazowy'!#REF!</f>
        <v>#REF!</v>
      </c>
      <c r="V17" s="249" t="e">
        <f>+'Zał.1_WPF_bazowy'!#REF!</f>
        <v>#REF!</v>
      </c>
      <c r="W17" s="249" t="e">
        <f>+'Zał.1_WPF_bazowy'!#REF!</f>
        <v>#REF!</v>
      </c>
      <c r="X17" s="249" t="e">
        <f>+'Zał.1_WPF_bazowy'!#REF!</f>
        <v>#REF!</v>
      </c>
      <c r="Y17" s="249" t="e">
        <f>+'Zał.1_WPF_bazowy'!#REF!</f>
        <v>#REF!</v>
      </c>
      <c r="Z17" s="249" t="e">
        <f>+'Zał.1_WPF_bazowy'!#REF!</f>
        <v>#REF!</v>
      </c>
      <c r="AA17" s="249" t="e">
        <f>+'Zał.1_WPF_bazowy'!#REF!</f>
        <v>#REF!</v>
      </c>
      <c r="AB17" s="249" t="e">
        <f>+'Zał.1_WPF_bazowy'!#REF!</f>
        <v>#REF!</v>
      </c>
      <c r="AC17" s="249" t="e">
        <f>+'Zał.1_WPF_bazowy'!#REF!</f>
        <v>#REF!</v>
      </c>
      <c r="AD17" s="249" t="e">
        <f>+'Zał.1_WPF_bazowy'!#REF!</f>
        <v>#REF!</v>
      </c>
      <c r="AE17" s="249" t="e">
        <f>+'Zał.1_WPF_bazowy'!#REF!</f>
        <v>#REF!</v>
      </c>
      <c r="AF17" s="249" t="e">
        <f>+'Zał.1_WPF_bazowy'!#REF!</f>
        <v>#REF!</v>
      </c>
      <c r="AG17" s="249" t="e">
        <f>+'Zał.1_WPF_bazowy'!#REF!</f>
        <v>#REF!</v>
      </c>
      <c r="AH17" s="249" t="e">
        <f>+'Zał.1_WPF_bazowy'!#REF!</f>
        <v>#REF!</v>
      </c>
      <c r="AI17" s="249" t="e">
        <f>+'Zał.1_WPF_bazowy'!#REF!</f>
        <v>#REF!</v>
      </c>
      <c r="AJ17" s="249" t="e">
        <f>+'Zał.1_WPF_bazowy'!#REF!</f>
        <v>#REF!</v>
      </c>
      <c r="AK17" s="249" t="e">
        <f>+'Zał.1_WPF_bazowy'!#REF!</f>
        <v>#REF!</v>
      </c>
      <c r="AL17" s="250" t="e">
        <f>+'Zał.1_WPF_bazowy'!#REF!</f>
        <v>#REF!</v>
      </c>
      <c r="IT17" s="253"/>
      <c r="IU17" s="253"/>
      <c r="IV17" s="253"/>
    </row>
    <row r="18" spans="1:38" ht="14.25" outlineLevel="2">
      <c r="A18" s="1" t="s">
        <v>8</v>
      </c>
      <c r="B18" s="242" t="s">
        <v>31</v>
      </c>
      <c r="C18" s="243"/>
      <c r="D18" s="244" t="s">
        <v>33</v>
      </c>
      <c r="E18" s="245">
        <f>'Zał.1_WPF_bazowy'!E11</f>
        <v>4596826.21</v>
      </c>
      <c r="F18" s="246">
        <f>'Zał.1_WPF_bazowy'!F11</f>
        <v>4670168.56</v>
      </c>
      <c r="G18" s="246">
        <f>'Zał.1_WPF_bazowy'!G11</f>
        <v>2809543.44</v>
      </c>
      <c r="H18" s="247">
        <f>'Zał.1_WPF_bazowy'!H11</f>
        <v>2875614.68</v>
      </c>
      <c r="I18" s="248">
        <f>+'Zał.1_WPF_bazowy'!I11</f>
        <v>1069064.53</v>
      </c>
      <c r="J18" s="249">
        <f>+'Zał.1_WPF_bazowy'!J11</f>
        <v>1252887.87</v>
      </c>
      <c r="K18" s="249">
        <f>+'Zał.1_WPF_bazowy'!K11</f>
        <v>0</v>
      </c>
      <c r="L18" s="249">
        <f>+'Zał.1_WPF_bazowy'!L11</f>
        <v>0</v>
      </c>
      <c r="M18" s="249">
        <f>+'Zał.1_WPF_bazowy'!M11</f>
        <v>0</v>
      </c>
      <c r="N18" s="249">
        <f>+'Zał.1_WPF_bazowy'!N11</f>
        <v>0</v>
      </c>
      <c r="O18" s="249">
        <f>+'Zał.1_WPF_bazowy'!O11</f>
        <v>0</v>
      </c>
      <c r="P18" s="249">
        <f>+'Zał.1_WPF_bazowy'!P11</f>
        <v>0</v>
      </c>
      <c r="Q18" s="249">
        <f>+'Zał.1_WPF_bazowy'!Q11</f>
        <v>0</v>
      </c>
      <c r="R18" s="249" t="e">
        <f>+'Zał.1_WPF_bazowy'!#REF!</f>
        <v>#REF!</v>
      </c>
      <c r="S18" s="249" t="e">
        <f>+'Zał.1_WPF_bazowy'!#REF!</f>
        <v>#REF!</v>
      </c>
      <c r="T18" s="249" t="e">
        <f>+'Zał.1_WPF_bazowy'!#REF!</f>
        <v>#REF!</v>
      </c>
      <c r="U18" s="249" t="e">
        <f>+'Zał.1_WPF_bazowy'!#REF!</f>
        <v>#REF!</v>
      </c>
      <c r="V18" s="249" t="e">
        <f>+'Zał.1_WPF_bazowy'!#REF!</f>
        <v>#REF!</v>
      </c>
      <c r="W18" s="249" t="e">
        <f>+'Zał.1_WPF_bazowy'!#REF!</f>
        <v>#REF!</v>
      </c>
      <c r="X18" s="249" t="e">
        <f>+'Zał.1_WPF_bazowy'!#REF!</f>
        <v>#REF!</v>
      </c>
      <c r="Y18" s="249" t="e">
        <f>+'Zał.1_WPF_bazowy'!#REF!</f>
        <v>#REF!</v>
      </c>
      <c r="Z18" s="249" t="e">
        <f>+'Zał.1_WPF_bazowy'!#REF!</f>
        <v>#REF!</v>
      </c>
      <c r="AA18" s="249" t="e">
        <f>+'Zał.1_WPF_bazowy'!#REF!</f>
        <v>#REF!</v>
      </c>
      <c r="AB18" s="249" t="e">
        <f>+'Zał.1_WPF_bazowy'!#REF!</f>
        <v>#REF!</v>
      </c>
      <c r="AC18" s="249" t="e">
        <f>+'Zał.1_WPF_bazowy'!#REF!</f>
        <v>#REF!</v>
      </c>
      <c r="AD18" s="249" t="e">
        <f>+'Zał.1_WPF_bazowy'!#REF!</f>
        <v>#REF!</v>
      </c>
      <c r="AE18" s="249" t="e">
        <f>+'Zał.1_WPF_bazowy'!#REF!</f>
        <v>#REF!</v>
      </c>
      <c r="AF18" s="249" t="e">
        <f>+'Zał.1_WPF_bazowy'!#REF!</f>
        <v>#REF!</v>
      </c>
      <c r="AG18" s="249" t="e">
        <f>+'Zał.1_WPF_bazowy'!#REF!</f>
        <v>#REF!</v>
      </c>
      <c r="AH18" s="249" t="e">
        <f>+'Zał.1_WPF_bazowy'!#REF!</f>
        <v>#REF!</v>
      </c>
      <c r="AI18" s="249" t="e">
        <f>+'Zał.1_WPF_bazowy'!#REF!</f>
        <v>#REF!</v>
      </c>
      <c r="AJ18" s="249" t="e">
        <f>+'Zał.1_WPF_bazowy'!#REF!</f>
        <v>#REF!</v>
      </c>
      <c r="AK18" s="249" t="e">
        <f>+'Zał.1_WPF_bazowy'!#REF!</f>
        <v>#REF!</v>
      </c>
      <c r="AL18" s="250" t="e">
        <f>+'Zał.1_WPF_bazowy'!#REF!</f>
        <v>#REF!</v>
      </c>
    </row>
    <row r="19" spans="1:38" ht="14.25" outlineLevel="2">
      <c r="A19" s="1" t="s">
        <v>8</v>
      </c>
      <c r="B19" s="242" t="s">
        <v>34</v>
      </c>
      <c r="C19" s="243"/>
      <c r="D19" s="251" t="s">
        <v>36</v>
      </c>
      <c r="E19" s="245">
        <f>'Zał.1_WPF_bazowy'!E12</f>
        <v>198768.84</v>
      </c>
      <c r="F19" s="246">
        <f>'Zał.1_WPF_bazowy'!F12</f>
        <v>243965.6</v>
      </c>
      <c r="G19" s="246">
        <f>'Zał.1_WPF_bazowy'!G12</f>
        <v>21000</v>
      </c>
      <c r="H19" s="247">
        <f>'Zał.1_WPF_bazowy'!H12</f>
        <v>32599.6</v>
      </c>
      <c r="I19" s="248">
        <f>+'Zał.1_WPF_bazowy'!I12</f>
        <v>120000</v>
      </c>
      <c r="J19" s="249">
        <f>+'Zał.1_WPF_bazowy'!J12</f>
        <v>0</v>
      </c>
      <c r="K19" s="249">
        <f>+'Zał.1_WPF_bazowy'!K12</f>
        <v>0</v>
      </c>
      <c r="L19" s="249">
        <f>+'Zał.1_WPF_bazowy'!L12</f>
        <v>0</v>
      </c>
      <c r="M19" s="249">
        <f>+'Zał.1_WPF_bazowy'!M12</f>
        <v>0</v>
      </c>
      <c r="N19" s="249">
        <f>+'Zał.1_WPF_bazowy'!N12</f>
        <v>0</v>
      </c>
      <c r="O19" s="249">
        <f>+'Zał.1_WPF_bazowy'!O12</f>
        <v>0</v>
      </c>
      <c r="P19" s="249">
        <f>+'Zał.1_WPF_bazowy'!P12</f>
        <v>0</v>
      </c>
      <c r="Q19" s="249">
        <f>+'Zał.1_WPF_bazowy'!Q12</f>
        <v>0</v>
      </c>
      <c r="R19" s="249" t="e">
        <f>+'Zał.1_WPF_bazowy'!#REF!</f>
        <v>#REF!</v>
      </c>
      <c r="S19" s="249" t="e">
        <f>+'Zał.1_WPF_bazowy'!#REF!</f>
        <v>#REF!</v>
      </c>
      <c r="T19" s="249" t="e">
        <f>+'Zał.1_WPF_bazowy'!#REF!</f>
        <v>#REF!</v>
      </c>
      <c r="U19" s="249" t="e">
        <f>+'Zał.1_WPF_bazowy'!#REF!</f>
        <v>#REF!</v>
      </c>
      <c r="V19" s="249" t="e">
        <f>+'Zał.1_WPF_bazowy'!#REF!</f>
        <v>#REF!</v>
      </c>
      <c r="W19" s="249" t="e">
        <f>+'Zał.1_WPF_bazowy'!#REF!</f>
        <v>#REF!</v>
      </c>
      <c r="X19" s="249" t="e">
        <f>+'Zał.1_WPF_bazowy'!#REF!</f>
        <v>#REF!</v>
      </c>
      <c r="Y19" s="249" t="e">
        <f>+'Zał.1_WPF_bazowy'!#REF!</f>
        <v>#REF!</v>
      </c>
      <c r="Z19" s="249" t="e">
        <f>+'Zał.1_WPF_bazowy'!#REF!</f>
        <v>#REF!</v>
      </c>
      <c r="AA19" s="249" t="e">
        <f>+'Zał.1_WPF_bazowy'!#REF!</f>
        <v>#REF!</v>
      </c>
      <c r="AB19" s="249" t="e">
        <f>+'Zał.1_WPF_bazowy'!#REF!</f>
        <v>#REF!</v>
      </c>
      <c r="AC19" s="249" t="e">
        <f>+'Zał.1_WPF_bazowy'!#REF!</f>
        <v>#REF!</v>
      </c>
      <c r="AD19" s="249" t="e">
        <f>+'Zał.1_WPF_bazowy'!#REF!</f>
        <v>#REF!</v>
      </c>
      <c r="AE19" s="249" t="e">
        <f>+'Zał.1_WPF_bazowy'!#REF!</f>
        <v>#REF!</v>
      </c>
      <c r="AF19" s="249" t="e">
        <f>+'Zał.1_WPF_bazowy'!#REF!</f>
        <v>#REF!</v>
      </c>
      <c r="AG19" s="249" t="e">
        <f>+'Zał.1_WPF_bazowy'!#REF!</f>
        <v>#REF!</v>
      </c>
      <c r="AH19" s="249" t="e">
        <f>+'Zał.1_WPF_bazowy'!#REF!</f>
        <v>#REF!</v>
      </c>
      <c r="AI19" s="249" t="e">
        <f>+'Zał.1_WPF_bazowy'!#REF!</f>
        <v>#REF!</v>
      </c>
      <c r="AJ19" s="249" t="e">
        <f>+'Zał.1_WPF_bazowy'!#REF!</f>
        <v>#REF!</v>
      </c>
      <c r="AK19" s="249" t="e">
        <f>+'Zał.1_WPF_bazowy'!#REF!</f>
        <v>#REF!</v>
      </c>
      <c r="AL19" s="250" t="e">
        <f>+'Zał.1_WPF_bazowy'!#REF!</f>
        <v>#REF!</v>
      </c>
    </row>
    <row r="20" spans="1:38" ht="14.25" outlineLevel="2">
      <c r="A20" s="1"/>
      <c r="B20" s="242" t="s">
        <v>37</v>
      </c>
      <c r="C20" s="243"/>
      <c r="D20" s="251" t="s">
        <v>39</v>
      </c>
      <c r="E20" s="245">
        <f>'Zał.1_WPF_bazowy'!E13</f>
        <v>4223796.09</v>
      </c>
      <c r="F20" s="246">
        <f>'Zał.1_WPF_bazowy'!F13</f>
        <v>4326916.96</v>
      </c>
      <c r="G20" s="246">
        <f>'Zał.1_WPF_bazowy'!G13</f>
        <v>2773543.44</v>
      </c>
      <c r="H20" s="247">
        <f>'Zał.1_WPF_bazowy'!H13</f>
        <v>2838905.27</v>
      </c>
      <c r="I20" s="248">
        <f>+'Zał.1_WPF_bazowy'!I13</f>
        <v>939064.53</v>
      </c>
      <c r="J20" s="249">
        <f>+'Zał.1_WPF_bazowy'!J13</f>
        <v>1252887.87</v>
      </c>
      <c r="K20" s="249">
        <f>+'Zał.1_WPF_bazowy'!K13</f>
        <v>0</v>
      </c>
      <c r="L20" s="249">
        <f>+'Zał.1_WPF_bazowy'!L13</f>
        <v>0</v>
      </c>
      <c r="M20" s="249">
        <f>+'Zał.1_WPF_bazowy'!M13</f>
        <v>0</v>
      </c>
      <c r="N20" s="249">
        <f>+'Zał.1_WPF_bazowy'!N13</f>
        <v>0</v>
      </c>
      <c r="O20" s="249">
        <f>+'Zał.1_WPF_bazowy'!O13</f>
        <v>0</v>
      </c>
      <c r="P20" s="249">
        <f>+'Zał.1_WPF_bazowy'!P13</f>
        <v>0</v>
      </c>
      <c r="Q20" s="249">
        <f>+'Zał.1_WPF_bazowy'!Q13</f>
        <v>0</v>
      </c>
      <c r="R20" s="249" t="e">
        <f>+'Zał.1_WPF_bazowy'!#REF!</f>
        <v>#REF!</v>
      </c>
      <c r="S20" s="249" t="e">
        <f>+'Zał.1_WPF_bazowy'!#REF!</f>
        <v>#REF!</v>
      </c>
      <c r="T20" s="249" t="e">
        <f>+'Zał.1_WPF_bazowy'!#REF!</f>
        <v>#REF!</v>
      </c>
      <c r="U20" s="249" t="e">
        <f>+'Zał.1_WPF_bazowy'!#REF!</f>
        <v>#REF!</v>
      </c>
      <c r="V20" s="249" t="e">
        <f>+'Zał.1_WPF_bazowy'!#REF!</f>
        <v>#REF!</v>
      </c>
      <c r="W20" s="249" t="e">
        <f>+'Zał.1_WPF_bazowy'!#REF!</f>
        <v>#REF!</v>
      </c>
      <c r="X20" s="249" t="e">
        <f>+'Zał.1_WPF_bazowy'!#REF!</f>
        <v>#REF!</v>
      </c>
      <c r="Y20" s="249" t="e">
        <f>+'Zał.1_WPF_bazowy'!#REF!</f>
        <v>#REF!</v>
      </c>
      <c r="Z20" s="249" t="e">
        <f>+'Zał.1_WPF_bazowy'!#REF!</f>
        <v>#REF!</v>
      </c>
      <c r="AA20" s="249" t="e">
        <f>+'Zał.1_WPF_bazowy'!#REF!</f>
        <v>#REF!</v>
      </c>
      <c r="AB20" s="249" t="e">
        <f>+'Zał.1_WPF_bazowy'!#REF!</f>
        <v>#REF!</v>
      </c>
      <c r="AC20" s="249" t="e">
        <f>+'Zał.1_WPF_bazowy'!#REF!</f>
        <v>#REF!</v>
      </c>
      <c r="AD20" s="249" t="e">
        <f>+'Zał.1_WPF_bazowy'!#REF!</f>
        <v>#REF!</v>
      </c>
      <c r="AE20" s="249" t="e">
        <f>+'Zał.1_WPF_bazowy'!#REF!</f>
        <v>#REF!</v>
      </c>
      <c r="AF20" s="249" t="e">
        <f>+'Zał.1_WPF_bazowy'!#REF!</f>
        <v>#REF!</v>
      </c>
      <c r="AG20" s="249" t="e">
        <f>+'Zał.1_WPF_bazowy'!#REF!</f>
        <v>#REF!</v>
      </c>
      <c r="AH20" s="249" t="e">
        <f>+'Zał.1_WPF_bazowy'!#REF!</f>
        <v>#REF!</v>
      </c>
      <c r="AI20" s="249" t="e">
        <f>+'Zał.1_WPF_bazowy'!#REF!</f>
        <v>#REF!</v>
      </c>
      <c r="AJ20" s="249" t="e">
        <f>+'Zał.1_WPF_bazowy'!#REF!</f>
        <v>#REF!</v>
      </c>
      <c r="AK20" s="249" t="e">
        <f>+'Zał.1_WPF_bazowy'!#REF!</f>
        <v>#REF!</v>
      </c>
      <c r="AL20" s="250" t="e">
        <f>+'Zał.1_WPF_bazowy'!#REF!</f>
        <v>#REF!</v>
      </c>
    </row>
    <row r="21" spans="1:38" s="241" customFormat="1" ht="15" outlineLevel="1">
      <c r="A21" s="1" t="s">
        <v>8</v>
      </c>
      <c r="B21" s="233">
        <v>2</v>
      </c>
      <c r="C21" s="234" t="s">
        <v>426</v>
      </c>
      <c r="D21" s="235" t="s">
        <v>40</v>
      </c>
      <c r="E21" s="236">
        <f>'Zał.1_WPF_bazowy'!E14</f>
        <v>37003938.3</v>
      </c>
      <c r="F21" s="237">
        <f>'Zał.1_WPF_bazowy'!F14</f>
        <v>37365699.93</v>
      </c>
      <c r="G21" s="237">
        <f>'Zał.1_WPF_bazowy'!G14</f>
        <v>42482913.27</v>
      </c>
      <c r="H21" s="238">
        <f>+H22+H30</f>
        <v>39803316.09</v>
      </c>
      <c r="I21" s="239">
        <f>+I22+I30</f>
        <v>42706938.769999996</v>
      </c>
      <c r="J21" s="240">
        <f>+J22+J30</f>
        <v>37874683.87</v>
      </c>
      <c r="K21" s="240">
        <f>+K22+K30</f>
        <v>37321796</v>
      </c>
      <c r="L21" s="240">
        <f>+L22+L30</f>
        <v>38139996</v>
      </c>
      <c r="M21" s="240">
        <f>+M22+M30</f>
        <v>38789996</v>
      </c>
      <c r="N21" s="240">
        <f>+N22+N30</f>
        <v>39789996</v>
      </c>
      <c r="O21" s="240">
        <f>+O22+O30</f>
        <v>40749996</v>
      </c>
      <c r="P21" s="240">
        <f>+P22+P30</f>
        <v>41582000</v>
      </c>
      <c r="Q21" s="240">
        <f>+Q22+Q30</f>
        <v>42934308</v>
      </c>
      <c r="R21" s="240" t="e">
        <f>+R22+R30</f>
        <v>#REF!</v>
      </c>
      <c r="S21" s="240" t="e">
        <f>+S22+S30</f>
        <v>#REF!</v>
      </c>
      <c r="T21" s="240" t="e">
        <f>+T22+T30</f>
        <v>#REF!</v>
      </c>
      <c r="U21" s="240" t="e">
        <f>+U22+U30</f>
        <v>#REF!</v>
      </c>
      <c r="V21" s="240" t="e">
        <f>+V22+V30</f>
        <v>#REF!</v>
      </c>
      <c r="W21" s="240" t="e">
        <f>+W22+W30</f>
        <v>#REF!</v>
      </c>
      <c r="X21" s="240" t="e">
        <f>+X22+X30</f>
        <v>#REF!</v>
      </c>
      <c r="Y21" s="240" t="e">
        <f>+Y22+Y30</f>
        <v>#REF!</v>
      </c>
      <c r="Z21" s="240" t="e">
        <f>+Z22+Z30</f>
        <v>#REF!</v>
      </c>
      <c r="AA21" s="240" t="e">
        <f>+AA22+AA30</f>
        <v>#REF!</v>
      </c>
      <c r="AB21" s="240" t="e">
        <f>+AB22+AB30</f>
        <v>#REF!</v>
      </c>
      <c r="AC21" s="240" t="e">
        <f>+AC22+AC30</f>
        <v>#REF!</v>
      </c>
      <c r="AD21" s="240" t="e">
        <f>+AD22+AD30</f>
        <v>#REF!</v>
      </c>
      <c r="AE21" s="240" t="e">
        <f>+AE22+AE30</f>
        <v>#REF!</v>
      </c>
      <c r="AF21" s="240" t="e">
        <f>+AF22+AF30</f>
        <v>#REF!</v>
      </c>
      <c r="AG21" s="240" t="e">
        <f>+AG22+AG30</f>
        <v>#REF!</v>
      </c>
      <c r="AH21" s="240" t="e">
        <f>+AH22+AH30</f>
        <v>#REF!</v>
      </c>
      <c r="AI21" s="240" t="e">
        <f>+AI22+AI30</f>
        <v>#REF!</v>
      </c>
      <c r="AJ21" s="240" t="e">
        <f>+AJ22+AJ30</f>
        <v>#REF!</v>
      </c>
      <c r="AK21" s="240" t="e">
        <f>+AK22+AK30</f>
        <v>#REF!</v>
      </c>
      <c r="AL21" s="238" t="e">
        <f>+AL22+AL30</f>
        <v>#REF!</v>
      </c>
    </row>
    <row r="22" spans="1:38" ht="14.25" outlineLevel="2">
      <c r="A22" s="1" t="s">
        <v>8</v>
      </c>
      <c r="B22" s="242" t="s">
        <v>41</v>
      </c>
      <c r="C22" s="243"/>
      <c r="D22" s="244" t="s">
        <v>43</v>
      </c>
      <c r="E22" s="245">
        <f>'Zał.1_WPF_bazowy'!E15</f>
        <v>30174248.7</v>
      </c>
      <c r="F22" s="246">
        <f>'Zał.1_WPF_bazowy'!F15</f>
        <v>31284204.73</v>
      </c>
      <c r="G22" s="246">
        <f>'Zał.1_WPF_bazowy'!G15</f>
        <v>31963540.27</v>
      </c>
      <c r="H22" s="247">
        <f>'Zał.1_WPF_bazowy'!H15</f>
        <v>31703820.82</v>
      </c>
      <c r="I22" s="248">
        <f>+'Zał.1_WPF_bazowy'!I15</f>
        <v>38501519.04</v>
      </c>
      <c r="J22" s="249">
        <f>+'Zał.1_WPF_bazowy'!J15</f>
        <v>35100000</v>
      </c>
      <c r="K22" s="249">
        <f>+'Zał.1_WPF_bazowy'!K15</f>
        <v>35600000</v>
      </c>
      <c r="L22" s="249">
        <f>+'Zał.1_WPF_bazowy'!L15</f>
        <v>36100000</v>
      </c>
      <c r="M22" s="249">
        <f>+'Zał.1_WPF_bazowy'!M15</f>
        <v>36600000</v>
      </c>
      <c r="N22" s="249">
        <f>+'Zał.1_WPF_bazowy'!N15</f>
        <v>37100000</v>
      </c>
      <c r="O22" s="249">
        <f>+'Zał.1_WPF_bazowy'!O15</f>
        <v>37600000</v>
      </c>
      <c r="P22" s="249">
        <f>+'Zał.1_WPF_bazowy'!P15</f>
        <v>38100000</v>
      </c>
      <c r="Q22" s="249">
        <f>+'Zał.1_WPF_bazowy'!Q15</f>
        <v>38600000</v>
      </c>
      <c r="R22" s="249" t="e">
        <f>+'Zał.1_WPF_bazowy'!#REF!</f>
        <v>#REF!</v>
      </c>
      <c r="S22" s="249" t="e">
        <f>+'Zał.1_WPF_bazowy'!#REF!</f>
        <v>#REF!</v>
      </c>
      <c r="T22" s="249" t="e">
        <f>+'Zał.1_WPF_bazowy'!#REF!</f>
        <v>#REF!</v>
      </c>
      <c r="U22" s="249" t="e">
        <f>+'Zał.1_WPF_bazowy'!#REF!</f>
        <v>#REF!</v>
      </c>
      <c r="V22" s="249" t="e">
        <f>+'Zał.1_WPF_bazowy'!#REF!</f>
        <v>#REF!</v>
      </c>
      <c r="W22" s="249" t="e">
        <f>+'Zał.1_WPF_bazowy'!#REF!</f>
        <v>#REF!</v>
      </c>
      <c r="X22" s="249" t="e">
        <f>+'Zał.1_WPF_bazowy'!#REF!</f>
        <v>#REF!</v>
      </c>
      <c r="Y22" s="249" t="e">
        <f>+'Zał.1_WPF_bazowy'!#REF!</f>
        <v>#REF!</v>
      </c>
      <c r="Z22" s="249" t="e">
        <f>+'Zał.1_WPF_bazowy'!#REF!</f>
        <v>#REF!</v>
      </c>
      <c r="AA22" s="249" t="e">
        <f>+'Zał.1_WPF_bazowy'!#REF!</f>
        <v>#REF!</v>
      </c>
      <c r="AB22" s="249" t="e">
        <f>+'Zał.1_WPF_bazowy'!#REF!</f>
        <v>#REF!</v>
      </c>
      <c r="AC22" s="249" t="e">
        <f>+'Zał.1_WPF_bazowy'!#REF!</f>
        <v>#REF!</v>
      </c>
      <c r="AD22" s="249" t="e">
        <f>+'Zał.1_WPF_bazowy'!#REF!</f>
        <v>#REF!</v>
      </c>
      <c r="AE22" s="249" t="e">
        <f>+'Zał.1_WPF_bazowy'!#REF!</f>
        <v>#REF!</v>
      </c>
      <c r="AF22" s="249" t="e">
        <f>+'Zał.1_WPF_bazowy'!#REF!</f>
        <v>#REF!</v>
      </c>
      <c r="AG22" s="249" t="e">
        <f>+'Zał.1_WPF_bazowy'!#REF!</f>
        <v>#REF!</v>
      </c>
      <c r="AH22" s="249" t="e">
        <f>+'Zał.1_WPF_bazowy'!#REF!</f>
        <v>#REF!</v>
      </c>
      <c r="AI22" s="249" t="e">
        <f>+'Zał.1_WPF_bazowy'!#REF!</f>
        <v>#REF!</v>
      </c>
      <c r="AJ22" s="249" t="e">
        <f>+'Zał.1_WPF_bazowy'!#REF!</f>
        <v>#REF!</v>
      </c>
      <c r="AK22" s="249" t="e">
        <f>+'Zał.1_WPF_bazowy'!#REF!</f>
        <v>#REF!</v>
      </c>
      <c r="AL22" s="250" t="e">
        <f>+'Zał.1_WPF_bazowy'!#REF!</f>
        <v>#REF!</v>
      </c>
    </row>
    <row r="23" spans="1:38" ht="14.25" outlineLevel="2">
      <c r="A23" s="1" t="s">
        <v>8</v>
      </c>
      <c r="B23" s="242" t="s">
        <v>44</v>
      </c>
      <c r="C23" s="243"/>
      <c r="D23" s="251" t="s">
        <v>46</v>
      </c>
      <c r="E23" s="245">
        <f>'Zał.1_WPF_bazowy'!E16</f>
        <v>0</v>
      </c>
      <c r="F23" s="246">
        <f>'Zał.1_WPF_bazowy'!F16</f>
        <v>0</v>
      </c>
      <c r="G23" s="246">
        <f>'Zał.1_WPF_bazowy'!G16</f>
        <v>28000</v>
      </c>
      <c r="H23" s="247">
        <f>'Zał.1_WPF_bazowy'!H16</f>
        <v>0</v>
      </c>
      <c r="I23" s="248">
        <f>+'Zał.1_WPF_bazowy'!I16</f>
        <v>38500</v>
      </c>
      <c r="J23" s="249">
        <f>+'Zał.1_WPF_bazowy'!J16</f>
        <v>114000</v>
      </c>
      <c r="K23" s="249">
        <f>+'Zał.1_WPF_bazowy'!K16</f>
        <v>116000</v>
      </c>
      <c r="L23" s="249">
        <f>+'Zał.1_WPF_bazowy'!L16</f>
        <v>117000</v>
      </c>
      <c r="M23" s="249">
        <f>+'Zał.1_WPF_bazowy'!M16</f>
        <v>119000</v>
      </c>
      <c r="N23" s="249">
        <f>+'Zał.1_WPF_bazowy'!N16</f>
        <v>121000</v>
      </c>
      <c r="O23" s="249">
        <f>+'Zał.1_WPF_bazowy'!O16</f>
        <v>123000</v>
      </c>
      <c r="P23" s="249">
        <f>+'Zał.1_WPF_bazowy'!P16</f>
        <v>126000</v>
      </c>
      <c r="Q23" s="249">
        <f>+'Zał.1_WPF_bazowy'!Q16</f>
        <v>128000</v>
      </c>
      <c r="R23" s="249" t="e">
        <f>+'Zał.1_WPF_bazowy'!#REF!</f>
        <v>#REF!</v>
      </c>
      <c r="S23" s="249" t="e">
        <f>+'Zał.1_WPF_bazowy'!#REF!</f>
        <v>#REF!</v>
      </c>
      <c r="T23" s="249" t="e">
        <f>+'Zał.1_WPF_bazowy'!#REF!</f>
        <v>#REF!</v>
      </c>
      <c r="U23" s="249" t="e">
        <f>+'Zał.1_WPF_bazowy'!#REF!</f>
        <v>#REF!</v>
      </c>
      <c r="V23" s="249" t="e">
        <f>+'Zał.1_WPF_bazowy'!#REF!</f>
        <v>#REF!</v>
      </c>
      <c r="W23" s="249" t="e">
        <f>+'Zał.1_WPF_bazowy'!#REF!</f>
        <v>#REF!</v>
      </c>
      <c r="X23" s="249" t="e">
        <f>+'Zał.1_WPF_bazowy'!#REF!</f>
        <v>#REF!</v>
      </c>
      <c r="Y23" s="249" t="e">
        <f>+'Zał.1_WPF_bazowy'!#REF!</f>
        <v>#REF!</v>
      </c>
      <c r="Z23" s="249" t="e">
        <f>+'Zał.1_WPF_bazowy'!#REF!</f>
        <v>#REF!</v>
      </c>
      <c r="AA23" s="249" t="e">
        <f>+'Zał.1_WPF_bazowy'!#REF!</f>
        <v>#REF!</v>
      </c>
      <c r="AB23" s="249" t="e">
        <f>+'Zał.1_WPF_bazowy'!#REF!</f>
        <v>#REF!</v>
      </c>
      <c r="AC23" s="249" t="e">
        <f>+'Zał.1_WPF_bazowy'!#REF!</f>
        <v>#REF!</v>
      </c>
      <c r="AD23" s="249" t="e">
        <f>+'Zał.1_WPF_bazowy'!#REF!</f>
        <v>#REF!</v>
      </c>
      <c r="AE23" s="249" t="e">
        <f>+'Zał.1_WPF_bazowy'!#REF!</f>
        <v>#REF!</v>
      </c>
      <c r="AF23" s="249" t="e">
        <f>+'Zał.1_WPF_bazowy'!#REF!</f>
        <v>#REF!</v>
      </c>
      <c r="AG23" s="249" t="e">
        <f>+'Zał.1_WPF_bazowy'!#REF!</f>
        <v>#REF!</v>
      </c>
      <c r="AH23" s="249" t="e">
        <f>+'Zał.1_WPF_bazowy'!#REF!</f>
        <v>#REF!</v>
      </c>
      <c r="AI23" s="249" t="e">
        <f>+'Zał.1_WPF_bazowy'!#REF!</f>
        <v>#REF!</v>
      </c>
      <c r="AJ23" s="249" t="e">
        <f>+'Zał.1_WPF_bazowy'!#REF!</f>
        <v>#REF!</v>
      </c>
      <c r="AK23" s="249" t="e">
        <f>+'Zał.1_WPF_bazowy'!#REF!</f>
        <v>#REF!</v>
      </c>
      <c r="AL23" s="250" t="e">
        <f>+'Zał.1_WPF_bazowy'!#REF!</f>
        <v>#REF!</v>
      </c>
    </row>
    <row r="24" spans="1:38" ht="24" outlineLevel="2">
      <c r="A24" s="1" t="s">
        <v>8</v>
      </c>
      <c r="B24" s="242" t="s">
        <v>47</v>
      </c>
      <c r="C24" s="243"/>
      <c r="D24" s="252" t="s">
        <v>49</v>
      </c>
      <c r="E24" s="245">
        <f>'Zał.1_WPF_bazowy'!E17</f>
        <v>0</v>
      </c>
      <c r="F24" s="246">
        <f>'Zał.1_WPF_bazowy'!F17</f>
        <v>0</v>
      </c>
      <c r="G24" s="246">
        <f>'Zał.1_WPF_bazowy'!G17</f>
        <v>0</v>
      </c>
      <c r="H24" s="247">
        <f>'Zał.1_WPF_bazowy'!H17</f>
        <v>0</v>
      </c>
      <c r="I24" s="248">
        <f>+'Zał.1_WPF_bazowy'!I17</f>
        <v>0</v>
      </c>
      <c r="J24" s="249">
        <f>+'Zał.1_WPF_bazowy'!J17</f>
        <v>0</v>
      </c>
      <c r="K24" s="249">
        <f>+'Zał.1_WPF_bazowy'!K17</f>
        <v>0</v>
      </c>
      <c r="L24" s="249">
        <f>+'Zał.1_WPF_bazowy'!L17</f>
        <v>0</v>
      </c>
      <c r="M24" s="249">
        <f>+'Zał.1_WPF_bazowy'!M17</f>
        <v>0</v>
      </c>
      <c r="N24" s="249">
        <f>+'Zał.1_WPF_bazowy'!N17</f>
        <v>0</v>
      </c>
      <c r="O24" s="249">
        <f>+'Zał.1_WPF_bazowy'!O17</f>
        <v>0</v>
      </c>
      <c r="P24" s="249">
        <f>+'Zał.1_WPF_bazowy'!P17</f>
        <v>0</v>
      </c>
      <c r="Q24" s="249">
        <f>+'Zał.1_WPF_bazowy'!Q17</f>
        <v>0</v>
      </c>
      <c r="R24" s="249" t="e">
        <f>+'Zał.1_WPF_bazowy'!#REF!</f>
        <v>#REF!</v>
      </c>
      <c r="S24" s="249" t="e">
        <f>+'Zał.1_WPF_bazowy'!#REF!</f>
        <v>#REF!</v>
      </c>
      <c r="T24" s="249" t="e">
        <f>+'Zał.1_WPF_bazowy'!#REF!</f>
        <v>#REF!</v>
      </c>
      <c r="U24" s="249" t="e">
        <f>+'Zał.1_WPF_bazowy'!#REF!</f>
        <v>#REF!</v>
      </c>
      <c r="V24" s="249" t="e">
        <f>+'Zał.1_WPF_bazowy'!#REF!</f>
        <v>#REF!</v>
      </c>
      <c r="W24" s="249" t="e">
        <f>+'Zał.1_WPF_bazowy'!#REF!</f>
        <v>#REF!</v>
      </c>
      <c r="X24" s="249" t="e">
        <f>+'Zał.1_WPF_bazowy'!#REF!</f>
        <v>#REF!</v>
      </c>
      <c r="Y24" s="249" t="e">
        <f>+'Zał.1_WPF_bazowy'!#REF!</f>
        <v>#REF!</v>
      </c>
      <c r="Z24" s="249" t="e">
        <f>+'Zał.1_WPF_bazowy'!#REF!</f>
        <v>#REF!</v>
      </c>
      <c r="AA24" s="249" t="e">
        <f>+'Zał.1_WPF_bazowy'!#REF!</f>
        <v>#REF!</v>
      </c>
      <c r="AB24" s="249" t="e">
        <f>+'Zał.1_WPF_bazowy'!#REF!</f>
        <v>#REF!</v>
      </c>
      <c r="AC24" s="249" t="e">
        <f>+'Zał.1_WPF_bazowy'!#REF!</f>
        <v>#REF!</v>
      </c>
      <c r="AD24" s="249" t="e">
        <f>+'Zał.1_WPF_bazowy'!#REF!</f>
        <v>#REF!</v>
      </c>
      <c r="AE24" s="249" t="e">
        <f>+'Zał.1_WPF_bazowy'!#REF!</f>
        <v>#REF!</v>
      </c>
      <c r="AF24" s="249" t="e">
        <f>+'Zał.1_WPF_bazowy'!#REF!</f>
        <v>#REF!</v>
      </c>
      <c r="AG24" s="249" t="e">
        <f>+'Zał.1_WPF_bazowy'!#REF!</f>
        <v>#REF!</v>
      </c>
      <c r="AH24" s="249" t="e">
        <f>+'Zał.1_WPF_bazowy'!#REF!</f>
        <v>#REF!</v>
      </c>
      <c r="AI24" s="249" t="e">
        <f>+'Zał.1_WPF_bazowy'!#REF!</f>
        <v>#REF!</v>
      </c>
      <c r="AJ24" s="249" t="e">
        <f>+'Zał.1_WPF_bazowy'!#REF!</f>
        <v>#REF!</v>
      </c>
      <c r="AK24" s="249" t="e">
        <f>+'Zał.1_WPF_bazowy'!#REF!</f>
        <v>#REF!</v>
      </c>
      <c r="AL24" s="250" t="e">
        <f>+'Zał.1_WPF_bazowy'!#REF!</f>
        <v>#REF!</v>
      </c>
    </row>
    <row r="25" spans="1:38" ht="36" outlineLevel="2">
      <c r="A25" s="1"/>
      <c r="B25" s="242" t="s">
        <v>50</v>
      </c>
      <c r="C25" s="243"/>
      <c r="D25" s="251" t="s">
        <v>52</v>
      </c>
      <c r="E25" s="245">
        <f>+'Zał.1_WPF_bazowy'!E18</f>
        <v>0</v>
      </c>
      <c r="F25" s="246">
        <f>+'Zał.1_WPF_bazowy'!F18</f>
        <v>0</v>
      </c>
      <c r="G25" s="246">
        <f>+'Zał.1_WPF_bazowy'!G18</f>
        <v>0</v>
      </c>
      <c r="H25" s="247">
        <f>+'Zał.1_WPF_bazowy'!H18</f>
        <v>0</v>
      </c>
      <c r="I25" s="248">
        <f>+'Zał.1_WPF_bazowy'!I18</f>
        <v>0</v>
      </c>
      <c r="J25" s="249">
        <f>+'Zał.1_WPF_bazowy'!J18</f>
        <v>0</v>
      </c>
      <c r="K25" s="249">
        <f>+'Zał.1_WPF_bazowy'!K18</f>
        <v>0</v>
      </c>
      <c r="L25" s="249">
        <f>+'Zał.1_WPF_bazowy'!L18</f>
        <v>0</v>
      </c>
      <c r="M25" s="249">
        <f>+'Zał.1_WPF_bazowy'!M18</f>
        <v>0</v>
      </c>
      <c r="N25" s="249">
        <f>+'Zał.1_WPF_bazowy'!N18</f>
        <v>0</v>
      </c>
      <c r="O25" s="249">
        <f>+'Zał.1_WPF_bazowy'!O18</f>
        <v>0</v>
      </c>
      <c r="P25" s="249">
        <f>+'Zał.1_WPF_bazowy'!P18</f>
        <v>0</v>
      </c>
      <c r="Q25" s="249">
        <f>+'Zał.1_WPF_bazowy'!Q18</f>
        <v>0</v>
      </c>
      <c r="R25" s="249" t="e">
        <f>+'Zał.1_WPF_bazowy'!#REF!</f>
        <v>#REF!</v>
      </c>
      <c r="S25" s="249" t="e">
        <f>+'Zał.1_WPF_bazowy'!#REF!</f>
        <v>#REF!</v>
      </c>
      <c r="T25" s="249" t="e">
        <f>+'Zał.1_WPF_bazowy'!#REF!</f>
        <v>#REF!</v>
      </c>
      <c r="U25" s="249" t="e">
        <f>+'Zał.1_WPF_bazowy'!#REF!</f>
        <v>#REF!</v>
      </c>
      <c r="V25" s="249" t="e">
        <f>+'Zał.1_WPF_bazowy'!#REF!</f>
        <v>#REF!</v>
      </c>
      <c r="W25" s="249" t="e">
        <f>+'Zał.1_WPF_bazowy'!#REF!</f>
        <v>#REF!</v>
      </c>
      <c r="X25" s="249" t="e">
        <f>+'Zał.1_WPF_bazowy'!#REF!</f>
        <v>#REF!</v>
      </c>
      <c r="Y25" s="249" t="e">
        <f>+'Zał.1_WPF_bazowy'!#REF!</f>
        <v>#REF!</v>
      </c>
      <c r="Z25" s="249" t="e">
        <f>+'Zał.1_WPF_bazowy'!#REF!</f>
        <v>#REF!</v>
      </c>
      <c r="AA25" s="249" t="e">
        <f>+'Zał.1_WPF_bazowy'!#REF!</f>
        <v>#REF!</v>
      </c>
      <c r="AB25" s="249" t="e">
        <f>+'Zał.1_WPF_bazowy'!#REF!</f>
        <v>#REF!</v>
      </c>
      <c r="AC25" s="249" t="e">
        <f>+'Zał.1_WPF_bazowy'!#REF!</f>
        <v>#REF!</v>
      </c>
      <c r="AD25" s="249" t="e">
        <f>+'Zał.1_WPF_bazowy'!#REF!</f>
        <v>#REF!</v>
      </c>
      <c r="AE25" s="249" t="e">
        <f>+'Zał.1_WPF_bazowy'!#REF!</f>
        <v>#REF!</v>
      </c>
      <c r="AF25" s="249" t="e">
        <f>+'Zał.1_WPF_bazowy'!#REF!</f>
        <v>#REF!</v>
      </c>
      <c r="AG25" s="249" t="e">
        <f>+'Zał.1_WPF_bazowy'!#REF!</f>
        <v>#REF!</v>
      </c>
      <c r="AH25" s="249" t="e">
        <f>+'Zał.1_WPF_bazowy'!#REF!</f>
        <v>#REF!</v>
      </c>
      <c r="AI25" s="249" t="e">
        <f>+'Zał.1_WPF_bazowy'!#REF!</f>
        <v>#REF!</v>
      </c>
      <c r="AJ25" s="249" t="e">
        <f>+'Zał.1_WPF_bazowy'!#REF!</f>
        <v>#REF!</v>
      </c>
      <c r="AK25" s="249" t="e">
        <f>+'Zał.1_WPF_bazowy'!#REF!</f>
        <v>#REF!</v>
      </c>
      <c r="AL25" s="250" t="e">
        <f>+'Zał.1_WPF_bazowy'!#REF!</f>
        <v>#REF!</v>
      </c>
    </row>
    <row r="26" spans="1:38" ht="14.25" outlineLevel="2">
      <c r="A26" s="1" t="s">
        <v>8</v>
      </c>
      <c r="B26" s="242" t="s">
        <v>53</v>
      </c>
      <c r="C26" s="243"/>
      <c r="D26" s="251" t="s">
        <v>55</v>
      </c>
      <c r="E26" s="245">
        <f>'Zał.1_WPF_bazowy'!E19</f>
        <v>657163.7</v>
      </c>
      <c r="F26" s="246">
        <f>'Zał.1_WPF_bazowy'!F19</f>
        <v>563582.46</v>
      </c>
      <c r="G26" s="246">
        <f>'Zał.1_WPF_bazowy'!G19</f>
        <v>480000</v>
      </c>
      <c r="H26" s="247">
        <f>'Zał.1_WPF_bazowy'!H19</f>
        <v>448191.95</v>
      </c>
      <c r="I26" s="248">
        <f>+'Zał.1_WPF_bazowy'!I19</f>
        <v>475000</v>
      </c>
      <c r="J26" s="249">
        <f>+'Zał.1_WPF_bazowy'!J19</f>
        <v>500000</v>
      </c>
      <c r="K26" s="249">
        <f>+'Zał.1_WPF_bazowy'!K19</f>
        <v>470000</v>
      </c>
      <c r="L26" s="249">
        <f>+'Zał.1_WPF_bazowy'!L19</f>
        <v>440000</v>
      </c>
      <c r="M26" s="249">
        <f>+'Zał.1_WPF_bazowy'!M19</f>
        <v>380000</v>
      </c>
      <c r="N26" s="249">
        <f>+'Zał.1_WPF_bazowy'!N19</f>
        <v>300000</v>
      </c>
      <c r="O26" s="249">
        <f>+'Zał.1_WPF_bazowy'!O19</f>
        <v>210000</v>
      </c>
      <c r="P26" s="249">
        <f>+'Zał.1_WPF_bazowy'!P19</f>
        <v>130000</v>
      </c>
      <c r="Q26" s="249">
        <f>+'Zał.1_WPF_bazowy'!Q19</f>
        <v>40000</v>
      </c>
      <c r="R26" s="249" t="e">
        <f>+'Zał.1_WPF_bazowy'!#REF!</f>
        <v>#REF!</v>
      </c>
      <c r="S26" s="249" t="e">
        <f>+'Zał.1_WPF_bazowy'!#REF!</f>
        <v>#REF!</v>
      </c>
      <c r="T26" s="249" t="e">
        <f>+'Zał.1_WPF_bazowy'!#REF!</f>
        <v>#REF!</v>
      </c>
      <c r="U26" s="249" t="e">
        <f>+'Zał.1_WPF_bazowy'!#REF!</f>
        <v>#REF!</v>
      </c>
      <c r="V26" s="249" t="e">
        <f>+'Zał.1_WPF_bazowy'!#REF!</f>
        <v>#REF!</v>
      </c>
      <c r="W26" s="249" t="e">
        <f>+'Zał.1_WPF_bazowy'!#REF!</f>
        <v>#REF!</v>
      </c>
      <c r="X26" s="249" t="e">
        <f>+'Zał.1_WPF_bazowy'!#REF!</f>
        <v>#REF!</v>
      </c>
      <c r="Y26" s="249" t="e">
        <f>+'Zał.1_WPF_bazowy'!#REF!</f>
        <v>#REF!</v>
      </c>
      <c r="Z26" s="249" t="e">
        <f>+'Zał.1_WPF_bazowy'!#REF!</f>
        <v>#REF!</v>
      </c>
      <c r="AA26" s="249" t="e">
        <f>+'Zał.1_WPF_bazowy'!#REF!</f>
        <v>#REF!</v>
      </c>
      <c r="AB26" s="249" t="e">
        <f>+'Zał.1_WPF_bazowy'!#REF!</f>
        <v>#REF!</v>
      </c>
      <c r="AC26" s="249" t="e">
        <f>+'Zał.1_WPF_bazowy'!#REF!</f>
        <v>#REF!</v>
      </c>
      <c r="AD26" s="249" t="e">
        <f>+'Zał.1_WPF_bazowy'!#REF!</f>
        <v>#REF!</v>
      </c>
      <c r="AE26" s="249" t="e">
        <f>+'Zał.1_WPF_bazowy'!#REF!</f>
        <v>#REF!</v>
      </c>
      <c r="AF26" s="249" t="e">
        <f>+'Zał.1_WPF_bazowy'!#REF!</f>
        <v>#REF!</v>
      </c>
      <c r="AG26" s="249" t="e">
        <f>+'Zał.1_WPF_bazowy'!#REF!</f>
        <v>#REF!</v>
      </c>
      <c r="AH26" s="249" t="e">
        <f>+'Zał.1_WPF_bazowy'!#REF!</f>
        <v>#REF!</v>
      </c>
      <c r="AI26" s="249" t="e">
        <f>+'Zał.1_WPF_bazowy'!#REF!</f>
        <v>#REF!</v>
      </c>
      <c r="AJ26" s="249" t="e">
        <f>+'Zał.1_WPF_bazowy'!#REF!</f>
        <v>#REF!</v>
      </c>
      <c r="AK26" s="249" t="e">
        <f>+'Zał.1_WPF_bazowy'!#REF!</f>
        <v>#REF!</v>
      </c>
      <c r="AL26" s="250" t="e">
        <f>+'Zał.1_WPF_bazowy'!#REF!</f>
        <v>#REF!</v>
      </c>
    </row>
    <row r="27" spans="1:256" ht="14.25" outlineLevel="2">
      <c r="A27" s="1" t="s">
        <v>8</v>
      </c>
      <c r="B27" s="242" t="s">
        <v>56</v>
      </c>
      <c r="C27" s="243"/>
      <c r="D27" s="252" t="s">
        <v>58</v>
      </c>
      <c r="E27" s="245">
        <f>'Zał.1_WPF_bazowy'!E20</f>
        <v>657163.7</v>
      </c>
      <c r="F27" s="246">
        <f>'Zał.1_WPF_bazowy'!F20</f>
        <v>563582.46</v>
      </c>
      <c r="G27" s="246">
        <f>'Zał.1_WPF_bazowy'!G20</f>
        <v>475000</v>
      </c>
      <c r="H27" s="247">
        <f>'Zał.1_WPF_bazowy'!H20</f>
        <v>443191.95</v>
      </c>
      <c r="I27" s="248">
        <f>+'Zał.1_WPF_bazowy'!I20</f>
        <v>470000</v>
      </c>
      <c r="J27" s="249">
        <f>+'Zał.1_WPF_bazowy'!J20</f>
        <v>500000</v>
      </c>
      <c r="K27" s="249">
        <f>+'Zał.1_WPF_bazowy'!K20</f>
        <v>470000</v>
      </c>
      <c r="L27" s="249">
        <f>+'Zał.1_WPF_bazowy'!L20</f>
        <v>440000</v>
      </c>
      <c r="M27" s="249">
        <f>+'Zał.1_WPF_bazowy'!M20</f>
        <v>380000</v>
      </c>
      <c r="N27" s="249">
        <f>+'Zał.1_WPF_bazowy'!N20</f>
        <v>300000</v>
      </c>
      <c r="O27" s="249">
        <f>+'Zał.1_WPF_bazowy'!O20</f>
        <v>210000</v>
      </c>
      <c r="P27" s="249">
        <f>+'Zał.1_WPF_bazowy'!P20</f>
        <v>130000</v>
      </c>
      <c r="Q27" s="249">
        <f>+'Zał.1_WPF_bazowy'!Q20</f>
        <v>40000</v>
      </c>
      <c r="R27" s="249" t="e">
        <f>+'Zał.1_WPF_bazowy'!#REF!</f>
        <v>#REF!</v>
      </c>
      <c r="S27" s="249" t="e">
        <f>+'Zał.1_WPF_bazowy'!#REF!</f>
        <v>#REF!</v>
      </c>
      <c r="T27" s="249" t="e">
        <f>+'Zał.1_WPF_bazowy'!#REF!</f>
        <v>#REF!</v>
      </c>
      <c r="U27" s="249" t="e">
        <f>+'Zał.1_WPF_bazowy'!#REF!</f>
        <v>#REF!</v>
      </c>
      <c r="V27" s="249" t="e">
        <f>+'Zał.1_WPF_bazowy'!#REF!</f>
        <v>#REF!</v>
      </c>
      <c r="W27" s="249" t="e">
        <f>+'Zał.1_WPF_bazowy'!#REF!</f>
        <v>#REF!</v>
      </c>
      <c r="X27" s="249" t="e">
        <f>+'Zał.1_WPF_bazowy'!#REF!</f>
        <v>#REF!</v>
      </c>
      <c r="Y27" s="249" t="e">
        <f>+'Zał.1_WPF_bazowy'!#REF!</f>
        <v>#REF!</v>
      </c>
      <c r="Z27" s="249" t="e">
        <f>+'Zał.1_WPF_bazowy'!#REF!</f>
        <v>#REF!</v>
      </c>
      <c r="AA27" s="249" t="e">
        <f>+'Zał.1_WPF_bazowy'!#REF!</f>
        <v>#REF!</v>
      </c>
      <c r="AB27" s="249" t="e">
        <f>+'Zał.1_WPF_bazowy'!#REF!</f>
        <v>#REF!</v>
      </c>
      <c r="AC27" s="249" t="e">
        <f>+'Zał.1_WPF_bazowy'!#REF!</f>
        <v>#REF!</v>
      </c>
      <c r="AD27" s="249" t="e">
        <f>+'Zał.1_WPF_bazowy'!#REF!</f>
        <v>#REF!</v>
      </c>
      <c r="AE27" s="249" t="e">
        <f>+'Zał.1_WPF_bazowy'!#REF!</f>
        <v>#REF!</v>
      </c>
      <c r="AF27" s="249" t="e">
        <f>+'Zał.1_WPF_bazowy'!#REF!</f>
        <v>#REF!</v>
      </c>
      <c r="AG27" s="249" t="e">
        <f>+'Zał.1_WPF_bazowy'!#REF!</f>
        <v>#REF!</v>
      </c>
      <c r="AH27" s="249" t="e">
        <f>+'Zał.1_WPF_bazowy'!#REF!</f>
        <v>#REF!</v>
      </c>
      <c r="AI27" s="249" t="e">
        <f>+'Zał.1_WPF_bazowy'!#REF!</f>
        <v>#REF!</v>
      </c>
      <c r="AJ27" s="249" t="e">
        <f>+'Zał.1_WPF_bazowy'!#REF!</f>
        <v>#REF!</v>
      </c>
      <c r="AK27" s="249" t="e">
        <f>+'Zał.1_WPF_bazowy'!#REF!</f>
        <v>#REF!</v>
      </c>
      <c r="AL27" s="250" t="e">
        <f>+'Zał.1_WPF_bazowy'!#REF!</f>
        <v>#REF!</v>
      </c>
      <c r="IT27" s="254"/>
      <c r="IU27" s="254"/>
      <c r="IV27" s="254"/>
    </row>
    <row r="28" spans="1:256" ht="36" outlineLevel="2">
      <c r="A28" s="1" t="s">
        <v>8</v>
      </c>
      <c r="B28" s="242" t="s">
        <v>59</v>
      </c>
      <c r="C28" s="243"/>
      <c r="D28" s="255" t="s">
        <v>61</v>
      </c>
      <c r="E28" s="245">
        <f>'Zał.1_WPF_bazowy'!E21</f>
        <v>0</v>
      </c>
      <c r="F28" s="246">
        <f>'Zał.1_WPF_bazowy'!F21</f>
        <v>0</v>
      </c>
      <c r="G28" s="246">
        <f>'Zał.1_WPF_bazowy'!G21</f>
        <v>0</v>
      </c>
      <c r="H28" s="247">
        <f>'Zał.1_WPF_bazowy'!H21</f>
        <v>0</v>
      </c>
      <c r="I28" s="248">
        <f>+'Zał.1_WPF_bazowy'!I21</f>
        <v>0</v>
      </c>
      <c r="J28" s="249">
        <f>+'Zał.1_WPF_bazowy'!J21</f>
        <v>0</v>
      </c>
      <c r="K28" s="249">
        <f>+'Zał.1_WPF_bazowy'!K21</f>
        <v>0</v>
      </c>
      <c r="L28" s="249">
        <f>+'Zał.1_WPF_bazowy'!L21</f>
        <v>0</v>
      </c>
      <c r="M28" s="249">
        <f>+'Zał.1_WPF_bazowy'!M21</f>
        <v>0</v>
      </c>
      <c r="N28" s="249">
        <f>+'Zał.1_WPF_bazowy'!N21</f>
        <v>0</v>
      </c>
      <c r="O28" s="249">
        <f>+'Zał.1_WPF_bazowy'!O21</f>
        <v>0</v>
      </c>
      <c r="P28" s="249">
        <f>+'Zał.1_WPF_bazowy'!P21</f>
        <v>0</v>
      </c>
      <c r="Q28" s="249">
        <f>+'Zał.1_WPF_bazowy'!Q21</f>
        <v>0</v>
      </c>
      <c r="R28" s="249" t="e">
        <f>+'Zał.1_WPF_bazowy'!#REF!</f>
        <v>#REF!</v>
      </c>
      <c r="S28" s="249" t="e">
        <f>+'Zał.1_WPF_bazowy'!#REF!</f>
        <v>#REF!</v>
      </c>
      <c r="T28" s="249" t="e">
        <f>+'Zał.1_WPF_bazowy'!#REF!</f>
        <v>#REF!</v>
      </c>
      <c r="U28" s="249" t="e">
        <f>+'Zał.1_WPF_bazowy'!#REF!</f>
        <v>#REF!</v>
      </c>
      <c r="V28" s="249" t="e">
        <f>+'Zał.1_WPF_bazowy'!#REF!</f>
        <v>#REF!</v>
      </c>
      <c r="W28" s="249" t="e">
        <f>+'Zał.1_WPF_bazowy'!#REF!</f>
        <v>#REF!</v>
      </c>
      <c r="X28" s="249" t="e">
        <f>+'Zał.1_WPF_bazowy'!#REF!</f>
        <v>#REF!</v>
      </c>
      <c r="Y28" s="249" t="e">
        <f>+'Zał.1_WPF_bazowy'!#REF!</f>
        <v>#REF!</v>
      </c>
      <c r="Z28" s="249" t="e">
        <f>+'Zał.1_WPF_bazowy'!#REF!</f>
        <v>#REF!</v>
      </c>
      <c r="AA28" s="249" t="e">
        <f>+'Zał.1_WPF_bazowy'!#REF!</f>
        <v>#REF!</v>
      </c>
      <c r="AB28" s="249" t="e">
        <f>+'Zał.1_WPF_bazowy'!#REF!</f>
        <v>#REF!</v>
      </c>
      <c r="AC28" s="249" t="e">
        <f>+'Zał.1_WPF_bazowy'!#REF!</f>
        <v>#REF!</v>
      </c>
      <c r="AD28" s="249" t="e">
        <f>+'Zał.1_WPF_bazowy'!#REF!</f>
        <v>#REF!</v>
      </c>
      <c r="AE28" s="249" t="e">
        <f>+'Zał.1_WPF_bazowy'!#REF!</f>
        <v>#REF!</v>
      </c>
      <c r="AF28" s="249" t="e">
        <f>+'Zał.1_WPF_bazowy'!#REF!</f>
        <v>#REF!</v>
      </c>
      <c r="AG28" s="249" t="e">
        <f>+'Zał.1_WPF_bazowy'!#REF!</f>
        <v>#REF!</v>
      </c>
      <c r="AH28" s="249" t="e">
        <f>+'Zał.1_WPF_bazowy'!#REF!</f>
        <v>#REF!</v>
      </c>
      <c r="AI28" s="249" t="e">
        <f>+'Zał.1_WPF_bazowy'!#REF!</f>
        <v>#REF!</v>
      </c>
      <c r="AJ28" s="249" t="e">
        <f>+'Zał.1_WPF_bazowy'!#REF!</f>
        <v>#REF!</v>
      </c>
      <c r="AK28" s="249" t="e">
        <f>+'Zał.1_WPF_bazowy'!#REF!</f>
        <v>#REF!</v>
      </c>
      <c r="AL28" s="250" t="e">
        <f>+'Zał.1_WPF_bazowy'!#REF!</f>
        <v>#REF!</v>
      </c>
      <c r="IT28" s="254"/>
      <c r="IU28" s="254"/>
      <c r="IV28" s="254"/>
    </row>
    <row r="29" spans="1:256" ht="24" outlineLevel="2">
      <c r="A29" s="1" t="s">
        <v>8</v>
      </c>
      <c r="B29" s="242" t="s">
        <v>62</v>
      </c>
      <c r="C29" s="243"/>
      <c r="D29" s="255" t="s">
        <v>64</v>
      </c>
      <c r="E29" s="245">
        <f>'Zał.1_WPF_bazowy'!E22</f>
        <v>0</v>
      </c>
      <c r="F29" s="246">
        <f>'Zał.1_WPF_bazowy'!F22</f>
        <v>0</v>
      </c>
      <c r="G29" s="246">
        <f>'Zał.1_WPF_bazowy'!G22</f>
        <v>0</v>
      </c>
      <c r="H29" s="247">
        <f>'Zał.1_WPF_bazowy'!H22</f>
        <v>0</v>
      </c>
      <c r="I29" s="248">
        <f>+'Zał.1_WPF_bazowy'!I22</f>
        <v>0</v>
      </c>
      <c r="J29" s="249">
        <f>+'Zał.1_WPF_bazowy'!J22</f>
        <v>0</v>
      </c>
      <c r="K29" s="249">
        <f>+'Zał.1_WPF_bazowy'!K22</f>
        <v>0</v>
      </c>
      <c r="L29" s="249">
        <f>+'Zał.1_WPF_bazowy'!L22</f>
        <v>0</v>
      </c>
      <c r="M29" s="249">
        <f>+'Zał.1_WPF_bazowy'!M22</f>
        <v>0</v>
      </c>
      <c r="N29" s="249">
        <f>+'Zał.1_WPF_bazowy'!N22</f>
        <v>0</v>
      </c>
      <c r="O29" s="249">
        <f>+'Zał.1_WPF_bazowy'!O22</f>
        <v>0</v>
      </c>
      <c r="P29" s="249">
        <f>+'Zał.1_WPF_bazowy'!P22</f>
        <v>0</v>
      </c>
      <c r="Q29" s="249">
        <f>+'Zał.1_WPF_bazowy'!Q22</f>
        <v>0</v>
      </c>
      <c r="R29" s="249" t="e">
        <f>+'Zał.1_WPF_bazowy'!#REF!</f>
        <v>#REF!</v>
      </c>
      <c r="S29" s="249" t="e">
        <f>+'Zał.1_WPF_bazowy'!#REF!</f>
        <v>#REF!</v>
      </c>
      <c r="T29" s="249" t="e">
        <f>+'Zał.1_WPF_bazowy'!#REF!</f>
        <v>#REF!</v>
      </c>
      <c r="U29" s="249" t="e">
        <f>+'Zał.1_WPF_bazowy'!#REF!</f>
        <v>#REF!</v>
      </c>
      <c r="V29" s="249" t="e">
        <f>+'Zał.1_WPF_bazowy'!#REF!</f>
        <v>#REF!</v>
      </c>
      <c r="W29" s="249" t="e">
        <f>+'Zał.1_WPF_bazowy'!#REF!</f>
        <v>#REF!</v>
      </c>
      <c r="X29" s="249" t="e">
        <f>+'Zał.1_WPF_bazowy'!#REF!</f>
        <v>#REF!</v>
      </c>
      <c r="Y29" s="249" t="e">
        <f>+'Zał.1_WPF_bazowy'!#REF!</f>
        <v>#REF!</v>
      </c>
      <c r="Z29" s="249" t="e">
        <f>+'Zał.1_WPF_bazowy'!#REF!</f>
        <v>#REF!</v>
      </c>
      <c r="AA29" s="249" t="e">
        <f>+'Zał.1_WPF_bazowy'!#REF!</f>
        <v>#REF!</v>
      </c>
      <c r="AB29" s="249" t="e">
        <f>+'Zał.1_WPF_bazowy'!#REF!</f>
        <v>#REF!</v>
      </c>
      <c r="AC29" s="249" t="e">
        <f>+'Zał.1_WPF_bazowy'!#REF!</f>
        <v>#REF!</v>
      </c>
      <c r="AD29" s="249" t="e">
        <f>+'Zał.1_WPF_bazowy'!#REF!</f>
        <v>#REF!</v>
      </c>
      <c r="AE29" s="249" t="e">
        <f>+'Zał.1_WPF_bazowy'!#REF!</f>
        <v>#REF!</v>
      </c>
      <c r="AF29" s="249" t="e">
        <f>+'Zał.1_WPF_bazowy'!#REF!</f>
        <v>#REF!</v>
      </c>
      <c r="AG29" s="249" t="e">
        <f>+'Zał.1_WPF_bazowy'!#REF!</f>
        <v>#REF!</v>
      </c>
      <c r="AH29" s="249" t="e">
        <f>+'Zał.1_WPF_bazowy'!#REF!</f>
        <v>#REF!</v>
      </c>
      <c r="AI29" s="249" t="e">
        <f>+'Zał.1_WPF_bazowy'!#REF!</f>
        <v>#REF!</v>
      </c>
      <c r="AJ29" s="249" t="e">
        <f>+'Zał.1_WPF_bazowy'!#REF!</f>
        <v>#REF!</v>
      </c>
      <c r="AK29" s="249" t="e">
        <f>+'Zał.1_WPF_bazowy'!#REF!</f>
        <v>#REF!</v>
      </c>
      <c r="AL29" s="250" t="e">
        <f>+'Zał.1_WPF_bazowy'!#REF!</f>
        <v>#REF!</v>
      </c>
      <c r="IT29" s="254"/>
      <c r="IU29" s="254"/>
      <c r="IV29" s="254"/>
    </row>
    <row r="30" spans="1:256" ht="14.25" outlineLevel="2">
      <c r="A30" s="1" t="s">
        <v>8</v>
      </c>
      <c r="B30" s="242" t="s">
        <v>65</v>
      </c>
      <c r="C30" s="243"/>
      <c r="D30" s="244" t="s">
        <v>67</v>
      </c>
      <c r="E30" s="245">
        <f>'Zał.1_WPF_bazowy'!E23</f>
        <v>6829689.6</v>
      </c>
      <c r="F30" s="246">
        <f>'Zał.1_WPF_bazowy'!F23</f>
        <v>6081495.2</v>
      </c>
      <c r="G30" s="246">
        <f>'Zał.1_WPF_bazowy'!G23</f>
        <v>10519373</v>
      </c>
      <c r="H30" s="247">
        <f>'Zał.1_WPF_bazowy'!H23</f>
        <v>8099495.27</v>
      </c>
      <c r="I30" s="248">
        <f>+'Zał.1_WPF_bazowy'!I23</f>
        <v>4205419.73</v>
      </c>
      <c r="J30" s="249">
        <f>+'Zał.1_WPF_bazowy'!J23</f>
        <v>2774683.87</v>
      </c>
      <c r="K30" s="249">
        <f>+'Zał.1_WPF_bazowy'!K23</f>
        <v>1721796</v>
      </c>
      <c r="L30" s="249">
        <f>+'Zał.1_WPF_bazowy'!L23</f>
        <v>2039996</v>
      </c>
      <c r="M30" s="249">
        <f>+'Zał.1_WPF_bazowy'!M23</f>
        <v>2189996</v>
      </c>
      <c r="N30" s="249">
        <f>+'Zał.1_WPF_bazowy'!N23</f>
        <v>2689996</v>
      </c>
      <c r="O30" s="249">
        <f>+'Zał.1_WPF_bazowy'!O23</f>
        <v>3149996</v>
      </c>
      <c r="P30" s="249">
        <f>+'Zał.1_WPF_bazowy'!P23</f>
        <v>3482000</v>
      </c>
      <c r="Q30" s="249">
        <f>+'Zał.1_WPF_bazowy'!Q23</f>
        <v>4334308</v>
      </c>
      <c r="R30" s="249" t="e">
        <f>+'Zał.1_WPF_bazowy'!#REF!</f>
        <v>#REF!</v>
      </c>
      <c r="S30" s="249" t="e">
        <f>+'Zał.1_WPF_bazowy'!#REF!</f>
        <v>#REF!</v>
      </c>
      <c r="T30" s="249" t="e">
        <f>+'Zał.1_WPF_bazowy'!#REF!</f>
        <v>#REF!</v>
      </c>
      <c r="U30" s="249" t="e">
        <f>+'Zał.1_WPF_bazowy'!#REF!</f>
        <v>#REF!</v>
      </c>
      <c r="V30" s="249" t="e">
        <f>+'Zał.1_WPF_bazowy'!#REF!</f>
        <v>#REF!</v>
      </c>
      <c r="W30" s="249" t="e">
        <f>+'Zał.1_WPF_bazowy'!#REF!</f>
        <v>#REF!</v>
      </c>
      <c r="X30" s="249" t="e">
        <f>+'Zał.1_WPF_bazowy'!#REF!</f>
        <v>#REF!</v>
      </c>
      <c r="Y30" s="249" t="e">
        <f>+'Zał.1_WPF_bazowy'!#REF!</f>
        <v>#REF!</v>
      </c>
      <c r="Z30" s="249" t="e">
        <f>+'Zał.1_WPF_bazowy'!#REF!</f>
        <v>#REF!</v>
      </c>
      <c r="AA30" s="249" t="e">
        <f>+'Zał.1_WPF_bazowy'!#REF!</f>
        <v>#REF!</v>
      </c>
      <c r="AB30" s="249" t="e">
        <f>+'Zał.1_WPF_bazowy'!#REF!</f>
        <v>#REF!</v>
      </c>
      <c r="AC30" s="249" t="e">
        <f>+'Zał.1_WPF_bazowy'!#REF!</f>
        <v>#REF!</v>
      </c>
      <c r="AD30" s="249" t="e">
        <f>+'Zał.1_WPF_bazowy'!#REF!</f>
        <v>#REF!</v>
      </c>
      <c r="AE30" s="249" t="e">
        <f>+'Zał.1_WPF_bazowy'!#REF!</f>
        <v>#REF!</v>
      </c>
      <c r="AF30" s="249" t="e">
        <f>+'Zał.1_WPF_bazowy'!#REF!</f>
        <v>#REF!</v>
      </c>
      <c r="AG30" s="249" t="e">
        <f>+'Zał.1_WPF_bazowy'!#REF!</f>
        <v>#REF!</v>
      </c>
      <c r="AH30" s="249" t="e">
        <f>+'Zał.1_WPF_bazowy'!#REF!</f>
        <v>#REF!</v>
      </c>
      <c r="AI30" s="249" t="e">
        <f>+'Zał.1_WPF_bazowy'!#REF!</f>
        <v>#REF!</v>
      </c>
      <c r="AJ30" s="249" t="e">
        <f>+'Zał.1_WPF_bazowy'!#REF!</f>
        <v>#REF!</v>
      </c>
      <c r="AK30" s="249" t="e">
        <f>+'Zał.1_WPF_bazowy'!#REF!</f>
        <v>#REF!</v>
      </c>
      <c r="AL30" s="250" t="e">
        <f>+'Zał.1_WPF_bazowy'!#REF!</f>
        <v>#REF!</v>
      </c>
      <c r="IT30" s="254"/>
      <c r="IU30" s="254"/>
      <c r="IV30" s="254"/>
    </row>
    <row r="31" spans="1:38" s="241" customFormat="1" ht="15" outlineLevel="1">
      <c r="A31" s="1" t="s">
        <v>8</v>
      </c>
      <c r="B31" s="233">
        <v>3</v>
      </c>
      <c r="C31" s="234" t="s">
        <v>427</v>
      </c>
      <c r="D31" s="235" t="s">
        <v>68</v>
      </c>
      <c r="E31" s="236">
        <f>'Zał.1_WPF_bazowy'!E24</f>
        <v>-105938.83</v>
      </c>
      <c r="F31" s="237">
        <f>'Zał.1_WPF_bazowy'!F24</f>
        <v>1409486.15</v>
      </c>
      <c r="G31" s="237">
        <f>'Zał.1_WPF_bazowy'!G24</f>
        <v>-5930398.38</v>
      </c>
      <c r="H31" s="238">
        <f>+H10-H21</f>
        <v>-2573798.0000000075</v>
      </c>
      <c r="I31" s="239">
        <f>+I10-I21</f>
        <v>-2003908.3799999952</v>
      </c>
      <c r="J31" s="240">
        <f>+J10-J21</f>
        <v>1478204</v>
      </c>
      <c r="K31" s="240">
        <f>+K10-K21</f>
        <v>1678204</v>
      </c>
      <c r="L31" s="240">
        <f>+L10-L21</f>
        <v>1860004</v>
      </c>
      <c r="M31" s="240">
        <f>+M10-M21</f>
        <v>2210004</v>
      </c>
      <c r="N31" s="240">
        <f>+N10-N21</f>
        <v>2210004</v>
      </c>
      <c r="O31" s="240">
        <f>+O10-O21</f>
        <v>2250004</v>
      </c>
      <c r="P31" s="240">
        <f>+P10-P21</f>
        <v>2418000</v>
      </c>
      <c r="Q31" s="240">
        <f>+Q10-Q21</f>
        <v>2065692</v>
      </c>
      <c r="R31" s="240" t="e">
        <f>+R10-R21</f>
        <v>#REF!</v>
      </c>
      <c r="S31" s="240" t="e">
        <f>+S10-S21</f>
        <v>#REF!</v>
      </c>
      <c r="T31" s="240" t="e">
        <f>+T10-T21</f>
        <v>#REF!</v>
      </c>
      <c r="U31" s="240" t="e">
        <f>+U10-U21</f>
        <v>#REF!</v>
      </c>
      <c r="V31" s="240" t="e">
        <f>+V10-V21</f>
        <v>#REF!</v>
      </c>
      <c r="W31" s="240" t="e">
        <f>+W10-W21</f>
        <v>#REF!</v>
      </c>
      <c r="X31" s="240" t="e">
        <f>+X10-X21</f>
        <v>#REF!</v>
      </c>
      <c r="Y31" s="240" t="e">
        <f>+Y10-Y21</f>
        <v>#REF!</v>
      </c>
      <c r="Z31" s="240" t="e">
        <f>+Z10-Z21</f>
        <v>#REF!</v>
      </c>
      <c r="AA31" s="240" t="e">
        <f>+AA10-AA21</f>
        <v>#REF!</v>
      </c>
      <c r="AB31" s="240" t="e">
        <f>+AB10-AB21</f>
        <v>#REF!</v>
      </c>
      <c r="AC31" s="240" t="e">
        <f>+AC10-AC21</f>
        <v>#REF!</v>
      </c>
      <c r="AD31" s="240" t="e">
        <f>+AD10-AD21</f>
        <v>#REF!</v>
      </c>
      <c r="AE31" s="240" t="e">
        <f>+AE10-AE21</f>
        <v>#REF!</v>
      </c>
      <c r="AF31" s="240" t="e">
        <f>+AF10-AF21</f>
        <v>#REF!</v>
      </c>
      <c r="AG31" s="240" t="e">
        <f>+AG10-AG21</f>
        <v>#REF!</v>
      </c>
      <c r="AH31" s="240" t="e">
        <f>+AH10-AH21</f>
        <v>#REF!</v>
      </c>
      <c r="AI31" s="240" t="e">
        <f>+AI10-AI21</f>
        <v>#REF!</v>
      </c>
      <c r="AJ31" s="240" t="e">
        <f>+AJ10-AJ21</f>
        <v>#REF!</v>
      </c>
      <c r="AK31" s="240" t="e">
        <f>+AK10-AK21</f>
        <v>#REF!</v>
      </c>
      <c r="AL31" s="238" t="e">
        <f>+AL10-AL21</f>
        <v>#REF!</v>
      </c>
    </row>
    <row r="32" spans="1:38" s="241" customFormat="1" ht="15" outlineLevel="1">
      <c r="A32" s="1" t="s">
        <v>8</v>
      </c>
      <c r="B32" s="233">
        <v>4</v>
      </c>
      <c r="C32" s="234" t="s">
        <v>428</v>
      </c>
      <c r="D32" s="235" t="s">
        <v>69</v>
      </c>
      <c r="E32" s="236">
        <f>'Zał.1_WPF_bazowy'!E25</f>
        <v>7317411.22</v>
      </c>
      <c r="F32" s="237">
        <f>'Zał.1_WPF_bazowy'!F25</f>
        <v>5010437.51</v>
      </c>
      <c r="G32" s="237">
        <f>'Zał.1_WPF_bazowy'!G25</f>
        <v>6846090.38</v>
      </c>
      <c r="H32" s="238">
        <f>+H33+H35+H37+H39</f>
        <v>5893398.38</v>
      </c>
      <c r="I32" s="239">
        <f>+I33+I35+I37+I39</f>
        <v>3219600.38</v>
      </c>
      <c r="J32" s="240">
        <f>+J33+J35+J37+J39</f>
        <v>0</v>
      </c>
      <c r="K32" s="240">
        <f>+K33+K35+K37+K39</f>
        <v>0</v>
      </c>
      <c r="L32" s="240">
        <f>+L33+L35+L37+L39</f>
        <v>0</v>
      </c>
      <c r="M32" s="240">
        <f>+M33+M35+M37+M39</f>
        <v>0</v>
      </c>
      <c r="N32" s="240">
        <f>+N33+N35+N37+N39</f>
        <v>0</v>
      </c>
      <c r="O32" s="240">
        <f>+O33+O35+O37+O39</f>
        <v>0</v>
      </c>
      <c r="P32" s="240">
        <f>+P33+P35+P37+P39</f>
        <v>0</v>
      </c>
      <c r="Q32" s="240">
        <f>+Q33+Q35+Q37+Q39</f>
        <v>0</v>
      </c>
      <c r="R32" s="240" t="e">
        <f>+R33+R35+R37+R39</f>
        <v>#REF!</v>
      </c>
      <c r="S32" s="240" t="e">
        <f>+S33+S35+S37+S39</f>
        <v>#REF!</v>
      </c>
      <c r="T32" s="240" t="e">
        <f>+T33+T35+T37+T39</f>
        <v>#REF!</v>
      </c>
      <c r="U32" s="240" t="e">
        <f>+U33+U35+U37+U39</f>
        <v>#REF!</v>
      </c>
      <c r="V32" s="240" t="e">
        <f>+V33+V35+V37+V39</f>
        <v>#REF!</v>
      </c>
      <c r="W32" s="240" t="e">
        <f>+W33+W35+W37+W39</f>
        <v>#REF!</v>
      </c>
      <c r="X32" s="240" t="e">
        <f>+X33+X35+X37+X39</f>
        <v>#REF!</v>
      </c>
      <c r="Y32" s="240" t="e">
        <f>+Y33+Y35+Y37+Y39</f>
        <v>#REF!</v>
      </c>
      <c r="Z32" s="240" t="e">
        <f>+Z33+Z35+Z37+Z39</f>
        <v>#REF!</v>
      </c>
      <c r="AA32" s="240" t="e">
        <f>+AA33+AA35+AA37+AA39</f>
        <v>#REF!</v>
      </c>
      <c r="AB32" s="240" t="e">
        <f>+AB33+AB35+AB37+AB39</f>
        <v>#REF!</v>
      </c>
      <c r="AC32" s="240" t="e">
        <f>+AC33+AC35+AC37+AC39</f>
        <v>#REF!</v>
      </c>
      <c r="AD32" s="240" t="e">
        <f>+AD33+AD35+AD37+AD39</f>
        <v>#REF!</v>
      </c>
      <c r="AE32" s="240" t="e">
        <f>+AE33+AE35+AE37+AE39</f>
        <v>#REF!</v>
      </c>
      <c r="AF32" s="240" t="e">
        <f>+AF33+AF35+AF37+AF39</f>
        <v>#REF!</v>
      </c>
      <c r="AG32" s="240" t="e">
        <f>+AG33+AG35+AG37+AG39</f>
        <v>#REF!</v>
      </c>
      <c r="AH32" s="240" t="e">
        <f>+AH33+AH35+AH37+AH39</f>
        <v>#REF!</v>
      </c>
      <c r="AI32" s="240" t="e">
        <f>+AI33+AI35+AI37+AI39</f>
        <v>#REF!</v>
      </c>
      <c r="AJ32" s="240" t="e">
        <f>+AJ33+AJ35+AJ37+AJ39</f>
        <v>#REF!</v>
      </c>
      <c r="AK32" s="240" t="e">
        <f>+AK33+AK35+AK37+AK39</f>
        <v>#REF!</v>
      </c>
      <c r="AL32" s="238" t="e">
        <f>+AL33+AL35+AL37+AL39</f>
        <v>#REF!</v>
      </c>
    </row>
    <row r="33" spans="1:38" ht="14.25" outlineLevel="2">
      <c r="A33" s="1" t="s">
        <v>8</v>
      </c>
      <c r="B33" s="242" t="s">
        <v>70</v>
      </c>
      <c r="C33" s="243"/>
      <c r="D33" s="244" t="s">
        <v>72</v>
      </c>
      <c r="E33" s="245">
        <f>'Zał.1_WPF_bazowy'!E26</f>
        <v>0</v>
      </c>
      <c r="F33" s="246">
        <f>'Zał.1_WPF_bazowy'!F26</f>
        <v>0</v>
      </c>
      <c r="G33" s="246">
        <f>'Zał.1_WPF_bazowy'!G26</f>
        <v>0</v>
      </c>
      <c r="H33" s="247">
        <f>'Zał.1_WPF_bazowy'!H26</f>
        <v>0</v>
      </c>
      <c r="I33" s="248">
        <f>+'Zał.1_WPF_bazowy'!I26</f>
        <v>0</v>
      </c>
      <c r="J33" s="249">
        <f>+'Zał.1_WPF_bazowy'!J26</f>
        <v>0</v>
      </c>
      <c r="K33" s="249">
        <f>+'Zał.1_WPF_bazowy'!K26</f>
        <v>0</v>
      </c>
      <c r="L33" s="249">
        <f>+'Zał.1_WPF_bazowy'!L26</f>
        <v>0</v>
      </c>
      <c r="M33" s="249">
        <f>+'Zał.1_WPF_bazowy'!M26</f>
        <v>0</v>
      </c>
      <c r="N33" s="249">
        <f>+'Zał.1_WPF_bazowy'!N26</f>
        <v>0</v>
      </c>
      <c r="O33" s="249">
        <f>+'Zał.1_WPF_bazowy'!O26</f>
        <v>0</v>
      </c>
      <c r="P33" s="249">
        <f>+'Zał.1_WPF_bazowy'!P26</f>
        <v>0</v>
      </c>
      <c r="Q33" s="249">
        <f>+'Zał.1_WPF_bazowy'!Q26</f>
        <v>0</v>
      </c>
      <c r="R33" s="249" t="e">
        <f>+'Zał.1_WPF_bazowy'!#REF!</f>
        <v>#REF!</v>
      </c>
      <c r="S33" s="249" t="e">
        <f>+'Zał.1_WPF_bazowy'!#REF!</f>
        <v>#REF!</v>
      </c>
      <c r="T33" s="249" t="e">
        <f>+'Zał.1_WPF_bazowy'!#REF!</f>
        <v>#REF!</v>
      </c>
      <c r="U33" s="249" t="e">
        <f>+'Zał.1_WPF_bazowy'!#REF!</f>
        <v>#REF!</v>
      </c>
      <c r="V33" s="249" t="e">
        <f>+'Zał.1_WPF_bazowy'!#REF!</f>
        <v>#REF!</v>
      </c>
      <c r="W33" s="249" t="e">
        <f>+'Zał.1_WPF_bazowy'!#REF!</f>
        <v>#REF!</v>
      </c>
      <c r="X33" s="249" t="e">
        <f>+'Zał.1_WPF_bazowy'!#REF!</f>
        <v>#REF!</v>
      </c>
      <c r="Y33" s="249" t="e">
        <f>+'Zał.1_WPF_bazowy'!#REF!</f>
        <v>#REF!</v>
      </c>
      <c r="Z33" s="249" t="e">
        <f>+'Zał.1_WPF_bazowy'!#REF!</f>
        <v>#REF!</v>
      </c>
      <c r="AA33" s="249" t="e">
        <f>+'Zał.1_WPF_bazowy'!#REF!</f>
        <v>#REF!</v>
      </c>
      <c r="AB33" s="249" t="e">
        <f>+'Zał.1_WPF_bazowy'!#REF!</f>
        <v>#REF!</v>
      </c>
      <c r="AC33" s="249" t="e">
        <f>+'Zał.1_WPF_bazowy'!#REF!</f>
        <v>#REF!</v>
      </c>
      <c r="AD33" s="249" t="e">
        <f>+'Zał.1_WPF_bazowy'!#REF!</f>
        <v>#REF!</v>
      </c>
      <c r="AE33" s="249" t="e">
        <f>+'Zał.1_WPF_bazowy'!#REF!</f>
        <v>#REF!</v>
      </c>
      <c r="AF33" s="249" t="e">
        <f>+'Zał.1_WPF_bazowy'!#REF!</f>
        <v>#REF!</v>
      </c>
      <c r="AG33" s="249" t="e">
        <f>+'Zał.1_WPF_bazowy'!#REF!</f>
        <v>#REF!</v>
      </c>
      <c r="AH33" s="249" t="e">
        <f>+'Zał.1_WPF_bazowy'!#REF!</f>
        <v>#REF!</v>
      </c>
      <c r="AI33" s="249" t="e">
        <f>+'Zał.1_WPF_bazowy'!#REF!</f>
        <v>#REF!</v>
      </c>
      <c r="AJ33" s="249" t="e">
        <f>+'Zał.1_WPF_bazowy'!#REF!</f>
        <v>#REF!</v>
      </c>
      <c r="AK33" s="249" t="e">
        <f>+'Zał.1_WPF_bazowy'!#REF!</f>
        <v>#REF!</v>
      </c>
      <c r="AL33" s="250" t="e">
        <f>+'Zał.1_WPF_bazowy'!#REF!</f>
        <v>#REF!</v>
      </c>
    </row>
    <row r="34" spans="1:38" ht="14.25" outlineLevel="2">
      <c r="A34" s="1" t="s">
        <v>8</v>
      </c>
      <c r="B34" s="242" t="s">
        <v>73</v>
      </c>
      <c r="C34" s="243"/>
      <c r="D34" s="251" t="s">
        <v>75</v>
      </c>
      <c r="E34" s="245">
        <f>'Zał.1_WPF_bazowy'!E27</f>
        <v>0</v>
      </c>
      <c r="F34" s="246">
        <f>'Zał.1_WPF_bazowy'!F27</f>
        <v>0</v>
      </c>
      <c r="G34" s="246">
        <f>'Zał.1_WPF_bazowy'!G27</f>
        <v>0</v>
      </c>
      <c r="H34" s="247">
        <f>'Zał.1_WPF_bazowy'!H27</f>
        <v>0</v>
      </c>
      <c r="I34" s="248">
        <f>+'Zał.1_WPF_bazowy'!I27</f>
        <v>0</v>
      </c>
      <c r="J34" s="249">
        <f>+'Zał.1_WPF_bazowy'!J27</f>
        <v>0</v>
      </c>
      <c r="K34" s="249">
        <f>+'Zał.1_WPF_bazowy'!K27</f>
        <v>0</v>
      </c>
      <c r="L34" s="249">
        <f>+'Zał.1_WPF_bazowy'!L27</f>
        <v>0</v>
      </c>
      <c r="M34" s="249">
        <f>+'Zał.1_WPF_bazowy'!M27</f>
        <v>0</v>
      </c>
      <c r="N34" s="249">
        <f>+'Zał.1_WPF_bazowy'!N27</f>
        <v>0</v>
      </c>
      <c r="O34" s="249">
        <f>+'Zał.1_WPF_bazowy'!O27</f>
        <v>0</v>
      </c>
      <c r="P34" s="249">
        <f>+'Zał.1_WPF_bazowy'!P27</f>
        <v>0</v>
      </c>
      <c r="Q34" s="249">
        <f>+'Zał.1_WPF_bazowy'!Q27</f>
        <v>0</v>
      </c>
      <c r="R34" s="249" t="e">
        <f>+'Zał.1_WPF_bazowy'!#REF!</f>
        <v>#REF!</v>
      </c>
      <c r="S34" s="249" t="e">
        <f>+'Zał.1_WPF_bazowy'!#REF!</f>
        <v>#REF!</v>
      </c>
      <c r="T34" s="249" t="e">
        <f>+'Zał.1_WPF_bazowy'!#REF!</f>
        <v>#REF!</v>
      </c>
      <c r="U34" s="249" t="e">
        <f>+'Zał.1_WPF_bazowy'!#REF!</f>
        <v>#REF!</v>
      </c>
      <c r="V34" s="249" t="e">
        <f>+'Zał.1_WPF_bazowy'!#REF!</f>
        <v>#REF!</v>
      </c>
      <c r="W34" s="249" t="e">
        <f>+'Zał.1_WPF_bazowy'!#REF!</f>
        <v>#REF!</v>
      </c>
      <c r="X34" s="249" t="e">
        <f>+'Zał.1_WPF_bazowy'!#REF!</f>
        <v>#REF!</v>
      </c>
      <c r="Y34" s="249" t="e">
        <f>+'Zał.1_WPF_bazowy'!#REF!</f>
        <v>#REF!</v>
      </c>
      <c r="Z34" s="249" t="e">
        <f>+'Zał.1_WPF_bazowy'!#REF!</f>
        <v>#REF!</v>
      </c>
      <c r="AA34" s="249" t="e">
        <f>+'Zał.1_WPF_bazowy'!#REF!</f>
        <v>#REF!</v>
      </c>
      <c r="AB34" s="249" t="e">
        <f>+'Zał.1_WPF_bazowy'!#REF!</f>
        <v>#REF!</v>
      </c>
      <c r="AC34" s="249" t="e">
        <f>+'Zał.1_WPF_bazowy'!#REF!</f>
        <v>#REF!</v>
      </c>
      <c r="AD34" s="249" t="e">
        <f>+'Zał.1_WPF_bazowy'!#REF!</f>
        <v>#REF!</v>
      </c>
      <c r="AE34" s="249" t="e">
        <f>+'Zał.1_WPF_bazowy'!#REF!</f>
        <v>#REF!</v>
      </c>
      <c r="AF34" s="249" t="e">
        <f>+'Zał.1_WPF_bazowy'!#REF!</f>
        <v>#REF!</v>
      </c>
      <c r="AG34" s="249" t="e">
        <f>+'Zał.1_WPF_bazowy'!#REF!</f>
        <v>#REF!</v>
      </c>
      <c r="AH34" s="249" t="e">
        <f>+'Zał.1_WPF_bazowy'!#REF!</f>
        <v>#REF!</v>
      </c>
      <c r="AI34" s="249" t="e">
        <f>+'Zał.1_WPF_bazowy'!#REF!</f>
        <v>#REF!</v>
      </c>
      <c r="AJ34" s="249" t="e">
        <f>+'Zał.1_WPF_bazowy'!#REF!</f>
        <v>#REF!</v>
      </c>
      <c r="AK34" s="249" t="e">
        <f>+'Zał.1_WPF_bazowy'!#REF!</f>
        <v>#REF!</v>
      </c>
      <c r="AL34" s="250" t="e">
        <f>+'Zał.1_WPF_bazowy'!#REF!</f>
        <v>#REF!</v>
      </c>
    </row>
    <row r="35" spans="1:38" ht="14.25" outlineLevel="2">
      <c r="A35" s="1" t="s">
        <v>8</v>
      </c>
      <c r="B35" s="242" t="s">
        <v>76</v>
      </c>
      <c r="C35" s="243"/>
      <c r="D35" s="244" t="s">
        <v>78</v>
      </c>
      <c r="E35" s="245">
        <f>'Zał.1_WPF_bazowy'!E28</f>
        <v>2607411.22</v>
      </c>
      <c r="F35" s="246">
        <f>'Zał.1_WPF_bazowy'!F28</f>
        <v>2502437.51</v>
      </c>
      <c r="G35" s="246">
        <f>'Zał.1_WPF_bazowy'!G28</f>
        <v>4393398.38</v>
      </c>
      <c r="H35" s="247">
        <f>'Zał.1_WPF_bazowy'!H28</f>
        <v>4393398.38</v>
      </c>
      <c r="I35" s="248">
        <f>+'Zał.1_WPF_bazowy'!I28</f>
        <v>2403908.38</v>
      </c>
      <c r="J35" s="249">
        <f>+'Zał.1_WPF_bazowy'!J28</f>
        <v>0</v>
      </c>
      <c r="K35" s="249">
        <f>+'Zał.1_WPF_bazowy'!K28</f>
        <v>0</v>
      </c>
      <c r="L35" s="249">
        <f>+'Zał.1_WPF_bazowy'!L28</f>
        <v>0</v>
      </c>
      <c r="M35" s="249">
        <f>+'Zał.1_WPF_bazowy'!M28</f>
        <v>0</v>
      </c>
      <c r="N35" s="249">
        <f>+'Zał.1_WPF_bazowy'!N28</f>
        <v>0</v>
      </c>
      <c r="O35" s="249">
        <f>+'Zał.1_WPF_bazowy'!O28</f>
        <v>0</v>
      </c>
      <c r="P35" s="249">
        <f>+'Zał.1_WPF_bazowy'!P28</f>
        <v>0</v>
      </c>
      <c r="Q35" s="249">
        <f>+'Zał.1_WPF_bazowy'!Q28</f>
        <v>0</v>
      </c>
      <c r="R35" s="249" t="e">
        <f>+'Zał.1_WPF_bazowy'!#REF!</f>
        <v>#REF!</v>
      </c>
      <c r="S35" s="249" t="e">
        <f>+'Zał.1_WPF_bazowy'!#REF!</f>
        <v>#REF!</v>
      </c>
      <c r="T35" s="249" t="e">
        <f>+'Zał.1_WPF_bazowy'!#REF!</f>
        <v>#REF!</v>
      </c>
      <c r="U35" s="249" t="e">
        <f>+'Zał.1_WPF_bazowy'!#REF!</f>
        <v>#REF!</v>
      </c>
      <c r="V35" s="249" t="e">
        <f>+'Zał.1_WPF_bazowy'!#REF!</f>
        <v>#REF!</v>
      </c>
      <c r="W35" s="249" t="e">
        <f>+'Zał.1_WPF_bazowy'!#REF!</f>
        <v>#REF!</v>
      </c>
      <c r="X35" s="249" t="e">
        <f>+'Zał.1_WPF_bazowy'!#REF!</f>
        <v>#REF!</v>
      </c>
      <c r="Y35" s="249" t="e">
        <f>+'Zał.1_WPF_bazowy'!#REF!</f>
        <v>#REF!</v>
      </c>
      <c r="Z35" s="249" t="e">
        <f>+'Zał.1_WPF_bazowy'!#REF!</f>
        <v>#REF!</v>
      </c>
      <c r="AA35" s="249" t="e">
        <f>+'Zał.1_WPF_bazowy'!#REF!</f>
        <v>#REF!</v>
      </c>
      <c r="AB35" s="249" t="e">
        <f>+'Zał.1_WPF_bazowy'!#REF!</f>
        <v>#REF!</v>
      </c>
      <c r="AC35" s="249" t="e">
        <f>+'Zał.1_WPF_bazowy'!#REF!</f>
        <v>#REF!</v>
      </c>
      <c r="AD35" s="249" t="e">
        <f>+'Zał.1_WPF_bazowy'!#REF!</f>
        <v>#REF!</v>
      </c>
      <c r="AE35" s="249" t="e">
        <f>+'Zał.1_WPF_bazowy'!#REF!</f>
        <v>#REF!</v>
      </c>
      <c r="AF35" s="249" t="e">
        <f>+'Zał.1_WPF_bazowy'!#REF!</f>
        <v>#REF!</v>
      </c>
      <c r="AG35" s="249" t="e">
        <f>+'Zał.1_WPF_bazowy'!#REF!</f>
        <v>#REF!</v>
      </c>
      <c r="AH35" s="249" t="e">
        <f>+'Zał.1_WPF_bazowy'!#REF!</f>
        <v>#REF!</v>
      </c>
      <c r="AI35" s="249" t="e">
        <f>+'Zał.1_WPF_bazowy'!#REF!</f>
        <v>#REF!</v>
      </c>
      <c r="AJ35" s="249" t="e">
        <f>+'Zał.1_WPF_bazowy'!#REF!</f>
        <v>#REF!</v>
      </c>
      <c r="AK35" s="249" t="e">
        <f>+'Zał.1_WPF_bazowy'!#REF!</f>
        <v>#REF!</v>
      </c>
      <c r="AL35" s="250" t="e">
        <f>+'Zał.1_WPF_bazowy'!#REF!</f>
        <v>#REF!</v>
      </c>
    </row>
    <row r="36" spans="1:38" ht="14.25" outlineLevel="2">
      <c r="A36" s="1" t="s">
        <v>8</v>
      </c>
      <c r="B36" s="242" t="s">
        <v>79</v>
      </c>
      <c r="C36" s="243"/>
      <c r="D36" s="251" t="s">
        <v>75</v>
      </c>
      <c r="E36" s="245">
        <f>'Zał.1_WPF_bazowy'!E29</f>
        <v>105938.83</v>
      </c>
      <c r="F36" s="246">
        <f>'Zał.1_WPF_bazowy'!F29</f>
        <v>2502437.51</v>
      </c>
      <c r="G36" s="246">
        <f>'Zał.1_WPF_bazowy'!G29</f>
        <v>4393398.38</v>
      </c>
      <c r="H36" s="247">
        <f>'Zał.1_WPF_bazowy'!H29</f>
        <v>2573759.75</v>
      </c>
      <c r="I36" s="248">
        <f>+'Zał.1_WPF_bazowy'!I29</f>
        <v>1188216.38</v>
      </c>
      <c r="J36" s="249">
        <f>+'Zał.1_WPF_bazowy'!J29</f>
        <v>0</v>
      </c>
      <c r="K36" s="249">
        <f>+'Zał.1_WPF_bazowy'!K29</f>
        <v>0</v>
      </c>
      <c r="L36" s="249">
        <f>+'Zał.1_WPF_bazowy'!L29</f>
        <v>0</v>
      </c>
      <c r="M36" s="249">
        <f>+'Zał.1_WPF_bazowy'!M29</f>
        <v>0</v>
      </c>
      <c r="N36" s="249">
        <f>+'Zał.1_WPF_bazowy'!N29</f>
        <v>0</v>
      </c>
      <c r="O36" s="249">
        <f>+'Zał.1_WPF_bazowy'!O29</f>
        <v>0</v>
      </c>
      <c r="P36" s="249">
        <f>+'Zał.1_WPF_bazowy'!P29</f>
        <v>0</v>
      </c>
      <c r="Q36" s="249">
        <f>+'Zał.1_WPF_bazowy'!Q29</f>
        <v>0</v>
      </c>
      <c r="R36" s="249" t="e">
        <f>+'Zał.1_WPF_bazowy'!#REF!</f>
        <v>#REF!</v>
      </c>
      <c r="S36" s="249" t="e">
        <f>+'Zał.1_WPF_bazowy'!#REF!</f>
        <v>#REF!</v>
      </c>
      <c r="T36" s="249" t="e">
        <f>+'Zał.1_WPF_bazowy'!#REF!</f>
        <v>#REF!</v>
      </c>
      <c r="U36" s="249" t="e">
        <f>+'Zał.1_WPF_bazowy'!#REF!</f>
        <v>#REF!</v>
      </c>
      <c r="V36" s="249" t="e">
        <f>+'Zał.1_WPF_bazowy'!#REF!</f>
        <v>#REF!</v>
      </c>
      <c r="W36" s="249" t="e">
        <f>+'Zał.1_WPF_bazowy'!#REF!</f>
        <v>#REF!</v>
      </c>
      <c r="X36" s="249" t="e">
        <f>+'Zał.1_WPF_bazowy'!#REF!</f>
        <v>#REF!</v>
      </c>
      <c r="Y36" s="249" t="e">
        <f>+'Zał.1_WPF_bazowy'!#REF!</f>
        <v>#REF!</v>
      </c>
      <c r="Z36" s="249" t="e">
        <f>+'Zał.1_WPF_bazowy'!#REF!</f>
        <v>#REF!</v>
      </c>
      <c r="AA36" s="249" t="e">
        <f>+'Zał.1_WPF_bazowy'!#REF!</f>
        <v>#REF!</v>
      </c>
      <c r="AB36" s="249" t="e">
        <f>+'Zał.1_WPF_bazowy'!#REF!</f>
        <v>#REF!</v>
      </c>
      <c r="AC36" s="249" t="e">
        <f>+'Zał.1_WPF_bazowy'!#REF!</f>
        <v>#REF!</v>
      </c>
      <c r="AD36" s="249" t="e">
        <f>+'Zał.1_WPF_bazowy'!#REF!</f>
        <v>#REF!</v>
      </c>
      <c r="AE36" s="249" t="e">
        <f>+'Zał.1_WPF_bazowy'!#REF!</f>
        <v>#REF!</v>
      </c>
      <c r="AF36" s="249" t="e">
        <f>+'Zał.1_WPF_bazowy'!#REF!</f>
        <v>#REF!</v>
      </c>
      <c r="AG36" s="249" t="e">
        <f>+'Zał.1_WPF_bazowy'!#REF!</f>
        <v>#REF!</v>
      </c>
      <c r="AH36" s="249" t="e">
        <f>+'Zał.1_WPF_bazowy'!#REF!</f>
        <v>#REF!</v>
      </c>
      <c r="AI36" s="249" t="e">
        <f>+'Zał.1_WPF_bazowy'!#REF!</f>
        <v>#REF!</v>
      </c>
      <c r="AJ36" s="249" t="e">
        <f>+'Zał.1_WPF_bazowy'!#REF!</f>
        <v>#REF!</v>
      </c>
      <c r="AK36" s="249" t="e">
        <f>+'Zał.1_WPF_bazowy'!#REF!</f>
        <v>#REF!</v>
      </c>
      <c r="AL36" s="250" t="e">
        <f>+'Zał.1_WPF_bazowy'!#REF!</f>
        <v>#REF!</v>
      </c>
    </row>
    <row r="37" spans="1:38" ht="14.25" outlineLevel="2">
      <c r="A37" s="1" t="s">
        <v>8</v>
      </c>
      <c r="B37" s="242" t="s">
        <v>81</v>
      </c>
      <c r="C37" s="243"/>
      <c r="D37" s="244" t="s">
        <v>83</v>
      </c>
      <c r="E37" s="245">
        <f>'Zał.1_WPF_bazowy'!E30</f>
        <v>4710000</v>
      </c>
      <c r="F37" s="246">
        <f>'Zał.1_WPF_bazowy'!F30</f>
        <v>2508000</v>
      </c>
      <c r="G37" s="246">
        <f>'Zał.1_WPF_bazowy'!G30</f>
        <v>2452692</v>
      </c>
      <c r="H37" s="247">
        <f>'Zał.1_WPF_bazowy'!H30</f>
        <v>1500000</v>
      </c>
      <c r="I37" s="248">
        <f>+'Zał.1_WPF_bazowy'!I30</f>
        <v>815692</v>
      </c>
      <c r="J37" s="249">
        <f>+'Zał.1_WPF_bazowy'!J30</f>
        <v>0</v>
      </c>
      <c r="K37" s="249">
        <f>+'Zał.1_WPF_bazowy'!K30</f>
        <v>0</v>
      </c>
      <c r="L37" s="249">
        <f>+'Zał.1_WPF_bazowy'!L30</f>
        <v>0</v>
      </c>
      <c r="M37" s="249">
        <f>+'Zał.1_WPF_bazowy'!M30</f>
        <v>0</v>
      </c>
      <c r="N37" s="249">
        <f>+'Zał.1_WPF_bazowy'!N30</f>
        <v>0</v>
      </c>
      <c r="O37" s="249">
        <f>+'Zał.1_WPF_bazowy'!O30</f>
        <v>0</v>
      </c>
      <c r="P37" s="249">
        <f>+'Zał.1_WPF_bazowy'!P30</f>
        <v>0</v>
      </c>
      <c r="Q37" s="249">
        <f>+'Zał.1_WPF_bazowy'!Q30</f>
        <v>0</v>
      </c>
      <c r="R37" s="249" t="e">
        <f>+'Zał.1_WPF_bazowy'!#REF!</f>
        <v>#REF!</v>
      </c>
      <c r="S37" s="249" t="e">
        <f>+'Zał.1_WPF_bazowy'!#REF!</f>
        <v>#REF!</v>
      </c>
      <c r="T37" s="249" t="e">
        <f>+'Zał.1_WPF_bazowy'!#REF!</f>
        <v>#REF!</v>
      </c>
      <c r="U37" s="249" t="e">
        <f>+'Zał.1_WPF_bazowy'!#REF!</f>
        <v>#REF!</v>
      </c>
      <c r="V37" s="249" t="e">
        <f>+'Zał.1_WPF_bazowy'!#REF!</f>
        <v>#REF!</v>
      </c>
      <c r="W37" s="249" t="e">
        <f>+'Zał.1_WPF_bazowy'!#REF!</f>
        <v>#REF!</v>
      </c>
      <c r="X37" s="249" t="e">
        <f>+'Zał.1_WPF_bazowy'!#REF!</f>
        <v>#REF!</v>
      </c>
      <c r="Y37" s="249" t="e">
        <f>+'Zał.1_WPF_bazowy'!#REF!</f>
        <v>#REF!</v>
      </c>
      <c r="Z37" s="249" t="e">
        <f>+'Zał.1_WPF_bazowy'!#REF!</f>
        <v>#REF!</v>
      </c>
      <c r="AA37" s="249" t="e">
        <f>+'Zał.1_WPF_bazowy'!#REF!</f>
        <v>#REF!</v>
      </c>
      <c r="AB37" s="249" t="e">
        <f>+'Zał.1_WPF_bazowy'!#REF!</f>
        <v>#REF!</v>
      </c>
      <c r="AC37" s="249" t="e">
        <f>+'Zał.1_WPF_bazowy'!#REF!</f>
        <v>#REF!</v>
      </c>
      <c r="AD37" s="249" t="e">
        <f>+'Zał.1_WPF_bazowy'!#REF!</f>
        <v>#REF!</v>
      </c>
      <c r="AE37" s="249" t="e">
        <f>+'Zał.1_WPF_bazowy'!#REF!</f>
        <v>#REF!</v>
      </c>
      <c r="AF37" s="249" t="e">
        <f>+'Zał.1_WPF_bazowy'!#REF!</f>
        <v>#REF!</v>
      </c>
      <c r="AG37" s="249" t="e">
        <f>+'Zał.1_WPF_bazowy'!#REF!</f>
        <v>#REF!</v>
      </c>
      <c r="AH37" s="249" t="e">
        <f>+'Zał.1_WPF_bazowy'!#REF!</f>
        <v>#REF!</v>
      </c>
      <c r="AI37" s="249" t="e">
        <f>+'Zał.1_WPF_bazowy'!#REF!</f>
        <v>#REF!</v>
      </c>
      <c r="AJ37" s="249" t="e">
        <f>+'Zał.1_WPF_bazowy'!#REF!</f>
        <v>#REF!</v>
      </c>
      <c r="AK37" s="249" t="e">
        <f>+'Zał.1_WPF_bazowy'!#REF!</f>
        <v>#REF!</v>
      </c>
      <c r="AL37" s="250" t="e">
        <f>+'Zał.1_WPF_bazowy'!#REF!</f>
        <v>#REF!</v>
      </c>
    </row>
    <row r="38" spans="1:38" ht="14.25" outlineLevel="2">
      <c r="A38" s="1" t="s">
        <v>8</v>
      </c>
      <c r="B38" s="242" t="s">
        <v>84</v>
      </c>
      <c r="C38" s="243"/>
      <c r="D38" s="251" t="s">
        <v>75</v>
      </c>
      <c r="E38" s="245">
        <f>'Zał.1_WPF_bazowy'!E31</f>
        <v>0</v>
      </c>
      <c r="F38" s="246">
        <f>'Zał.1_WPF_bazowy'!F31</f>
        <v>0</v>
      </c>
      <c r="G38" s="246">
        <f>'Zał.1_WPF_bazowy'!G31</f>
        <v>1537000</v>
      </c>
      <c r="H38" s="247">
        <f>'Zał.1_WPF_bazowy'!H31</f>
        <v>0</v>
      </c>
      <c r="I38" s="248">
        <f>+'Zał.1_WPF_bazowy'!I31</f>
        <v>815692</v>
      </c>
      <c r="J38" s="249">
        <f>+'Zał.1_WPF_bazowy'!J31</f>
        <v>0</v>
      </c>
      <c r="K38" s="249">
        <f>+'Zał.1_WPF_bazowy'!K31</f>
        <v>0</v>
      </c>
      <c r="L38" s="249">
        <f>+'Zał.1_WPF_bazowy'!L31</f>
        <v>0</v>
      </c>
      <c r="M38" s="249">
        <f>+'Zał.1_WPF_bazowy'!M31</f>
        <v>0</v>
      </c>
      <c r="N38" s="249">
        <f>+'Zał.1_WPF_bazowy'!N31</f>
        <v>0</v>
      </c>
      <c r="O38" s="249">
        <f>+'Zał.1_WPF_bazowy'!O31</f>
        <v>0</v>
      </c>
      <c r="P38" s="249">
        <f>+'Zał.1_WPF_bazowy'!P31</f>
        <v>0</v>
      </c>
      <c r="Q38" s="249">
        <f>+'Zał.1_WPF_bazowy'!Q31</f>
        <v>0</v>
      </c>
      <c r="R38" s="249" t="e">
        <f>+'Zał.1_WPF_bazowy'!#REF!</f>
        <v>#REF!</v>
      </c>
      <c r="S38" s="249" t="e">
        <f>+'Zał.1_WPF_bazowy'!#REF!</f>
        <v>#REF!</v>
      </c>
      <c r="T38" s="249" t="e">
        <f>+'Zał.1_WPF_bazowy'!#REF!</f>
        <v>#REF!</v>
      </c>
      <c r="U38" s="249" t="e">
        <f>+'Zał.1_WPF_bazowy'!#REF!</f>
        <v>#REF!</v>
      </c>
      <c r="V38" s="249" t="e">
        <f>+'Zał.1_WPF_bazowy'!#REF!</f>
        <v>#REF!</v>
      </c>
      <c r="W38" s="249" t="e">
        <f>+'Zał.1_WPF_bazowy'!#REF!</f>
        <v>#REF!</v>
      </c>
      <c r="X38" s="249" t="e">
        <f>+'Zał.1_WPF_bazowy'!#REF!</f>
        <v>#REF!</v>
      </c>
      <c r="Y38" s="249" t="e">
        <f>+'Zał.1_WPF_bazowy'!#REF!</f>
        <v>#REF!</v>
      </c>
      <c r="Z38" s="249" t="e">
        <f>+'Zał.1_WPF_bazowy'!#REF!</f>
        <v>#REF!</v>
      </c>
      <c r="AA38" s="249" t="e">
        <f>+'Zał.1_WPF_bazowy'!#REF!</f>
        <v>#REF!</v>
      </c>
      <c r="AB38" s="249" t="e">
        <f>+'Zał.1_WPF_bazowy'!#REF!</f>
        <v>#REF!</v>
      </c>
      <c r="AC38" s="249" t="e">
        <f>+'Zał.1_WPF_bazowy'!#REF!</f>
        <v>#REF!</v>
      </c>
      <c r="AD38" s="249" t="e">
        <f>+'Zał.1_WPF_bazowy'!#REF!</f>
        <v>#REF!</v>
      </c>
      <c r="AE38" s="249" t="e">
        <f>+'Zał.1_WPF_bazowy'!#REF!</f>
        <v>#REF!</v>
      </c>
      <c r="AF38" s="249" t="e">
        <f>+'Zał.1_WPF_bazowy'!#REF!</f>
        <v>#REF!</v>
      </c>
      <c r="AG38" s="249" t="e">
        <f>+'Zał.1_WPF_bazowy'!#REF!</f>
        <v>#REF!</v>
      </c>
      <c r="AH38" s="249" t="e">
        <f>+'Zał.1_WPF_bazowy'!#REF!</f>
        <v>#REF!</v>
      </c>
      <c r="AI38" s="249" t="e">
        <f>+'Zał.1_WPF_bazowy'!#REF!</f>
        <v>#REF!</v>
      </c>
      <c r="AJ38" s="249" t="e">
        <f>+'Zał.1_WPF_bazowy'!#REF!</f>
        <v>#REF!</v>
      </c>
      <c r="AK38" s="249" t="e">
        <f>+'Zał.1_WPF_bazowy'!#REF!</f>
        <v>#REF!</v>
      </c>
      <c r="AL38" s="250" t="e">
        <f>+'Zał.1_WPF_bazowy'!#REF!</f>
        <v>#REF!</v>
      </c>
    </row>
    <row r="39" spans="1:38" ht="14.25" outlineLevel="2">
      <c r="A39" s="1" t="s">
        <v>8</v>
      </c>
      <c r="B39" s="242" t="s">
        <v>85</v>
      </c>
      <c r="C39" s="243"/>
      <c r="D39" s="244" t="s">
        <v>86</v>
      </c>
      <c r="E39" s="245">
        <f>'Zał.1_WPF_bazowy'!E32</f>
        <v>0</v>
      </c>
      <c r="F39" s="246">
        <f>'Zał.1_WPF_bazowy'!F32</f>
        <v>0</v>
      </c>
      <c r="G39" s="246">
        <f>'Zał.1_WPF_bazowy'!G32</f>
        <v>0</v>
      </c>
      <c r="H39" s="247">
        <f>'Zał.1_WPF_bazowy'!H32</f>
        <v>0</v>
      </c>
      <c r="I39" s="248">
        <f>+'Zał.1_WPF_bazowy'!I32</f>
        <v>0</v>
      </c>
      <c r="J39" s="249">
        <f>+'Zał.1_WPF_bazowy'!J32</f>
        <v>0</v>
      </c>
      <c r="K39" s="249">
        <f>+'Zał.1_WPF_bazowy'!K32</f>
        <v>0</v>
      </c>
      <c r="L39" s="249">
        <f>+'Zał.1_WPF_bazowy'!L32</f>
        <v>0</v>
      </c>
      <c r="M39" s="249">
        <f>+'Zał.1_WPF_bazowy'!M32</f>
        <v>0</v>
      </c>
      <c r="N39" s="249">
        <f>+'Zał.1_WPF_bazowy'!N32</f>
        <v>0</v>
      </c>
      <c r="O39" s="249">
        <f>+'Zał.1_WPF_bazowy'!O32</f>
        <v>0</v>
      </c>
      <c r="P39" s="249">
        <f>+'Zał.1_WPF_bazowy'!P32</f>
        <v>0</v>
      </c>
      <c r="Q39" s="249">
        <f>+'Zał.1_WPF_bazowy'!Q32</f>
        <v>0</v>
      </c>
      <c r="R39" s="249" t="e">
        <f>+'Zał.1_WPF_bazowy'!#REF!</f>
        <v>#REF!</v>
      </c>
      <c r="S39" s="249" t="e">
        <f>+'Zał.1_WPF_bazowy'!#REF!</f>
        <v>#REF!</v>
      </c>
      <c r="T39" s="249" t="e">
        <f>+'Zał.1_WPF_bazowy'!#REF!</f>
        <v>#REF!</v>
      </c>
      <c r="U39" s="249" t="e">
        <f>+'Zał.1_WPF_bazowy'!#REF!</f>
        <v>#REF!</v>
      </c>
      <c r="V39" s="249" t="e">
        <f>+'Zał.1_WPF_bazowy'!#REF!</f>
        <v>#REF!</v>
      </c>
      <c r="W39" s="249" t="e">
        <f>+'Zał.1_WPF_bazowy'!#REF!</f>
        <v>#REF!</v>
      </c>
      <c r="X39" s="249" t="e">
        <f>+'Zał.1_WPF_bazowy'!#REF!</f>
        <v>#REF!</v>
      </c>
      <c r="Y39" s="249" t="e">
        <f>+'Zał.1_WPF_bazowy'!#REF!</f>
        <v>#REF!</v>
      </c>
      <c r="Z39" s="249" t="e">
        <f>+'Zał.1_WPF_bazowy'!#REF!</f>
        <v>#REF!</v>
      </c>
      <c r="AA39" s="249" t="e">
        <f>+'Zał.1_WPF_bazowy'!#REF!</f>
        <v>#REF!</v>
      </c>
      <c r="AB39" s="249" t="e">
        <f>+'Zał.1_WPF_bazowy'!#REF!</f>
        <v>#REF!</v>
      </c>
      <c r="AC39" s="249" t="e">
        <f>+'Zał.1_WPF_bazowy'!#REF!</f>
        <v>#REF!</v>
      </c>
      <c r="AD39" s="249" t="e">
        <f>+'Zał.1_WPF_bazowy'!#REF!</f>
        <v>#REF!</v>
      </c>
      <c r="AE39" s="249" t="e">
        <f>+'Zał.1_WPF_bazowy'!#REF!</f>
        <v>#REF!</v>
      </c>
      <c r="AF39" s="249" t="e">
        <f>+'Zał.1_WPF_bazowy'!#REF!</f>
        <v>#REF!</v>
      </c>
      <c r="AG39" s="249" t="e">
        <f>+'Zał.1_WPF_bazowy'!#REF!</f>
        <v>#REF!</v>
      </c>
      <c r="AH39" s="249" t="e">
        <f>+'Zał.1_WPF_bazowy'!#REF!</f>
        <v>#REF!</v>
      </c>
      <c r="AI39" s="249" t="e">
        <f>+'Zał.1_WPF_bazowy'!#REF!</f>
        <v>#REF!</v>
      </c>
      <c r="AJ39" s="249" t="e">
        <f>+'Zał.1_WPF_bazowy'!#REF!</f>
        <v>#REF!</v>
      </c>
      <c r="AK39" s="249" t="e">
        <f>+'Zał.1_WPF_bazowy'!#REF!</f>
        <v>#REF!</v>
      </c>
      <c r="AL39" s="250" t="e">
        <f>+'Zał.1_WPF_bazowy'!#REF!</f>
        <v>#REF!</v>
      </c>
    </row>
    <row r="40" spans="1:38" ht="14.25" outlineLevel="2">
      <c r="A40" s="1" t="s">
        <v>8</v>
      </c>
      <c r="B40" s="242" t="s">
        <v>87</v>
      </c>
      <c r="C40" s="243"/>
      <c r="D40" s="251" t="s">
        <v>75</v>
      </c>
      <c r="E40" s="245">
        <f>'Zał.1_WPF_bazowy'!E33</f>
        <v>0</v>
      </c>
      <c r="F40" s="246">
        <f>'Zał.1_WPF_bazowy'!F33</f>
        <v>0</v>
      </c>
      <c r="G40" s="246">
        <f>'Zał.1_WPF_bazowy'!G33</f>
        <v>0</v>
      </c>
      <c r="H40" s="247">
        <f>'Zał.1_WPF_bazowy'!H33</f>
        <v>0</v>
      </c>
      <c r="I40" s="248">
        <f>+'Zał.1_WPF_bazowy'!I33</f>
        <v>0</v>
      </c>
      <c r="J40" s="249">
        <f>+'Zał.1_WPF_bazowy'!J33</f>
        <v>0</v>
      </c>
      <c r="K40" s="249">
        <f>+'Zał.1_WPF_bazowy'!K33</f>
        <v>0</v>
      </c>
      <c r="L40" s="249">
        <f>+'Zał.1_WPF_bazowy'!L33</f>
        <v>0</v>
      </c>
      <c r="M40" s="249">
        <f>+'Zał.1_WPF_bazowy'!M33</f>
        <v>0</v>
      </c>
      <c r="N40" s="249">
        <f>+'Zał.1_WPF_bazowy'!N33</f>
        <v>0</v>
      </c>
      <c r="O40" s="249">
        <f>+'Zał.1_WPF_bazowy'!O33</f>
        <v>0</v>
      </c>
      <c r="P40" s="249">
        <f>+'Zał.1_WPF_bazowy'!P33</f>
        <v>0</v>
      </c>
      <c r="Q40" s="249">
        <f>+'Zał.1_WPF_bazowy'!Q33</f>
        <v>0</v>
      </c>
      <c r="R40" s="249" t="e">
        <f>+'Zał.1_WPF_bazowy'!#REF!</f>
        <v>#REF!</v>
      </c>
      <c r="S40" s="249" t="e">
        <f>+'Zał.1_WPF_bazowy'!#REF!</f>
        <v>#REF!</v>
      </c>
      <c r="T40" s="249" t="e">
        <f>+'Zał.1_WPF_bazowy'!#REF!</f>
        <v>#REF!</v>
      </c>
      <c r="U40" s="249" t="e">
        <f>+'Zał.1_WPF_bazowy'!#REF!</f>
        <v>#REF!</v>
      </c>
      <c r="V40" s="249" t="e">
        <f>+'Zał.1_WPF_bazowy'!#REF!</f>
        <v>#REF!</v>
      </c>
      <c r="W40" s="249" t="e">
        <f>+'Zał.1_WPF_bazowy'!#REF!</f>
        <v>#REF!</v>
      </c>
      <c r="X40" s="249" t="e">
        <f>+'Zał.1_WPF_bazowy'!#REF!</f>
        <v>#REF!</v>
      </c>
      <c r="Y40" s="249" t="e">
        <f>+'Zał.1_WPF_bazowy'!#REF!</f>
        <v>#REF!</v>
      </c>
      <c r="Z40" s="249" t="e">
        <f>+'Zał.1_WPF_bazowy'!#REF!</f>
        <v>#REF!</v>
      </c>
      <c r="AA40" s="249" t="e">
        <f>+'Zał.1_WPF_bazowy'!#REF!</f>
        <v>#REF!</v>
      </c>
      <c r="AB40" s="249" t="e">
        <f>+'Zał.1_WPF_bazowy'!#REF!</f>
        <v>#REF!</v>
      </c>
      <c r="AC40" s="249" t="e">
        <f>+'Zał.1_WPF_bazowy'!#REF!</f>
        <v>#REF!</v>
      </c>
      <c r="AD40" s="249" t="e">
        <f>+'Zał.1_WPF_bazowy'!#REF!</f>
        <v>#REF!</v>
      </c>
      <c r="AE40" s="249" t="e">
        <f>+'Zał.1_WPF_bazowy'!#REF!</f>
        <v>#REF!</v>
      </c>
      <c r="AF40" s="249" t="e">
        <f>+'Zał.1_WPF_bazowy'!#REF!</f>
        <v>#REF!</v>
      </c>
      <c r="AG40" s="249" t="e">
        <f>+'Zał.1_WPF_bazowy'!#REF!</f>
        <v>#REF!</v>
      </c>
      <c r="AH40" s="249" t="e">
        <f>+'Zał.1_WPF_bazowy'!#REF!</f>
        <v>#REF!</v>
      </c>
      <c r="AI40" s="249" t="e">
        <f>+'Zał.1_WPF_bazowy'!#REF!</f>
        <v>#REF!</v>
      </c>
      <c r="AJ40" s="249" t="e">
        <f>+'Zał.1_WPF_bazowy'!#REF!</f>
        <v>#REF!</v>
      </c>
      <c r="AK40" s="249" t="e">
        <f>+'Zał.1_WPF_bazowy'!#REF!</f>
        <v>#REF!</v>
      </c>
      <c r="AL40" s="250" t="e">
        <f>+'Zał.1_WPF_bazowy'!#REF!</f>
        <v>#REF!</v>
      </c>
    </row>
    <row r="41" spans="1:38" s="241" customFormat="1" ht="15.75" outlineLevel="1">
      <c r="A41" s="1" t="s">
        <v>8</v>
      </c>
      <c r="B41" s="233">
        <v>5</v>
      </c>
      <c r="C41" s="234" t="s">
        <v>429</v>
      </c>
      <c r="D41" s="235" t="s">
        <v>88</v>
      </c>
      <c r="E41" s="236">
        <f>'Zał.1_WPF_bazowy'!E34</f>
        <v>1903176.7</v>
      </c>
      <c r="F41" s="237">
        <f>'Zał.1_WPF_bazowy'!F34</f>
        <v>2026525.28</v>
      </c>
      <c r="G41" s="237">
        <f>'Zał.1_WPF_bazowy'!G34</f>
        <v>915692</v>
      </c>
      <c r="H41" s="238">
        <f>+H42+H47</f>
        <v>915692</v>
      </c>
      <c r="I41" s="239">
        <f>+I42+I47</f>
        <v>1215692</v>
      </c>
      <c r="J41" s="240">
        <f>+J42+J47</f>
        <v>1478204</v>
      </c>
      <c r="K41" s="240">
        <f>+K42+K47</f>
        <v>1678204</v>
      </c>
      <c r="L41" s="240">
        <f>+L42+L47</f>
        <v>1860004</v>
      </c>
      <c r="M41" s="240">
        <f>+M42+M47</f>
        <v>2210004</v>
      </c>
      <c r="N41" s="240">
        <f>+N42+N47</f>
        <v>2210004</v>
      </c>
      <c r="O41" s="240">
        <f>+O42+O47</f>
        <v>2250004</v>
      </c>
      <c r="P41" s="240">
        <f>+P42+P47</f>
        <v>2418000</v>
      </c>
      <c r="Q41" s="240">
        <f>+Q42+Q47</f>
        <v>2065692</v>
      </c>
      <c r="R41" s="240" t="e">
        <f>+R42+R47</f>
        <v>#REF!</v>
      </c>
      <c r="S41" s="240" t="e">
        <f>+S42+S47</f>
        <v>#REF!</v>
      </c>
      <c r="T41" s="240" t="e">
        <f>+T42+T47</f>
        <v>#REF!</v>
      </c>
      <c r="U41" s="240" t="e">
        <f>+U42+U47</f>
        <v>#REF!</v>
      </c>
      <c r="V41" s="240" t="e">
        <f>+V42+V47</f>
        <v>#REF!</v>
      </c>
      <c r="W41" s="240" t="e">
        <f>+W42+W47</f>
        <v>#REF!</v>
      </c>
      <c r="X41" s="240" t="e">
        <f>+X42+X47</f>
        <v>#REF!</v>
      </c>
      <c r="Y41" s="240" t="e">
        <f>+Y42+Y47</f>
        <v>#REF!</v>
      </c>
      <c r="Z41" s="240" t="e">
        <f>+Z42+Z47</f>
        <v>#REF!</v>
      </c>
      <c r="AA41" s="240" t="e">
        <f>+AA42+AA47</f>
        <v>#REF!</v>
      </c>
      <c r="AB41" s="240" t="e">
        <f>+AB42+AB47</f>
        <v>#REF!</v>
      </c>
      <c r="AC41" s="240" t="e">
        <f>+AC42+AC47</f>
        <v>#REF!</v>
      </c>
      <c r="AD41" s="240" t="e">
        <f>+AD42+AD47</f>
        <v>#REF!</v>
      </c>
      <c r="AE41" s="240" t="e">
        <f>+AE42+AE47</f>
        <v>#REF!</v>
      </c>
      <c r="AF41" s="240" t="e">
        <f>+AF42+AF47</f>
        <v>#REF!</v>
      </c>
      <c r="AG41" s="240" t="e">
        <f>+AG42+AG47</f>
        <v>#REF!</v>
      </c>
      <c r="AH41" s="240" t="e">
        <f>+AH42+AH47</f>
        <v>#REF!</v>
      </c>
      <c r="AI41" s="240" t="e">
        <f>+AI42+AI47</f>
        <v>#REF!</v>
      </c>
      <c r="AJ41" s="240" t="e">
        <f>+AJ42+AJ47</f>
        <v>#REF!</v>
      </c>
      <c r="AK41" s="240" t="e">
        <f>+AK42+AK47</f>
        <v>#REF!</v>
      </c>
      <c r="AL41" s="238" t="e">
        <f>+AL42+AL47</f>
        <v>#REF!</v>
      </c>
    </row>
    <row r="42" spans="1:256" ht="14.25" outlineLevel="2">
      <c r="A42" s="1" t="s">
        <v>8</v>
      </c>
      <c r="B42" s="242" t="s">
        <v>89</v>
      </c>
      <c r="C42" s="243"/>
      <c r="D42" s="244" t="s">
        <v>91</v>
      </c>
      <c r="E42" s="245">
        <f>'Zał.1_WPF_bazowy'!E35</f>
        <v>1903176.7</v>
      </c>
      <c r="F42" s="246">
        <f>'Zał.1_WPF_bazowy'!F35</f>
        <v>2026525.28</v>
      </c>
      <c r="G42" s="246">
        <f>'Zał.1_WPF_bazowy'!G35</f>
        <v>915692</v>
      </c>
      <c r="H42" s="247">
        <f>'Zał.1_WPF_bazowy'!H35</f>
        <v>915692</v>
      </c>
      <c r="I42" s="248">
        <f>+'Zał.1_WPF_bazowy'!I35</f>
        <v>1215692</v>
      </c>
      <c r="J42" s="249">
        <f>+'Zał.1_WPF_bazowy'!J35</f>
        <v>1478204</v>
      </c>
      <c r="K42" s="249">
        <f>+'Zał.1_WPF_bazowy'!K35</f>
        <v>1678204</v>
      </c>
      <c r="L42" s="249">
        <f>+'Zał.1_WPF_bazowy'!L35</f>
        <v>1860004</v>
      </c>
      <c r="M42" s="249">
        <f>+'Zał.1_WPF_bazowy'!M35</f>
        <v>2210004</v>
      </c>
      <c r="N42" s="249">
        <f>+'Zał.1_WPF_bazowy'!N35</f>
        <v>2210004</v>
      </c>
      <c r="O42" s="249">
        <f>+'Zał.1_WPF_bazowy'!O35</f>
        <v>2250004</v>
      </c>
      <c r="P42" s="249">
        <f>+'Zał.1_WPF_bazowy'!P35</f>
        <v>2418000</v>
      </c>
      <c r="Q42" s="249">
        <f>+'Zał.1_WPF_bazowy'!Q35</f>
        <v>2065692</v>
      </c>
      <c r="R42" s="249" t="e">
        <f>+'Zał.1_WPF_bazowy'!#REF!</f>
        <v>#REF!</v>
      </c>
      <c r="S42" s="249" t="e">
        <f>+'Zał.1_WPF_bazowy'!#REF!</f>
        <v>#REF!</v>
      </c>
      <c r="T42" s="249" t="e">
        <f>+'Zał.1_WPF_bazowy'!#REF!</f>
        <v>#REF!</v>
      </c>
      <c r="U42" s="249" t="e">
        <f>+'Zał.1_WPF_bazowy'!#REF!</f>
        <v>#REF!</v>
      </c>
      <c r="V42" s="249" t="e">
        <f>+'Zał.1_WPF_bazowy'!#REF!</f>
        <v>#REF!</v>
      </c>
      <c r="W42" s="249" t="e">
        <f>+'Zał.1_WPF_bazowy'!#REF!</f>
        <v>#REF!</v>
      </c>
      <c r="X42" s="249" t="e">
        <f>+'Zał.1_WPF_bazowy'!#REF!</f>
        <v>#REF!</v>
      </c>
      <c r="Y42" s="249" t="e">
        <f>+'Zał.1_WPF_bazowy'!#REF!</f>
        <v>#REF!</v>
      </c>
      <c r="Z42" s="249" t="e">
        <f>+'Zał.1_WPF_bazowy'!#REF!</f>
        <v>#REF!</v>
      </c>
      <c r="AA42" s="249" t="e">
        <f>+'Zał.1_WPF_bazowy'!#REF!</f>
        <v>#REF!</v>
      </c>
      <c r="AB42" s="249" t="e">
        <f>+'Zał.1_WPF_bazowy'!#REF!</f>
        <v>#REF!</v>
      </c>
      <c r="AC42" s="249" t="e">
        <f>+'Zał.1_WPF_bazowy'!#REF!</f>
        <v>#REF!</v>
      </c>
      <c r="AD42" s="249" t="e">
        <f>+'Zał.1_WPF_bazowy'!#REF!</f>
        <v>#REF!</v>
      </c>
      <c r="AE42" s="249" t="e">
        <f>+'Zał.1_WPF_bazowy'!#REF!</f>
        <v>#REF!</v>
      </c>
      <c r="AF42" s="249" t="e">
        <f>+'Zał.1_WPF_bazowy'!#REF!</f>
        <v>#REF!</v>
      </c>
      <c r="AG42" s="249" t="e">
        <f>+'Zał.1_WPF_bazowy'!#REF!</f>
        <v>#REF!</v>
      </c>
      <c r="AH42" s="249" t="e">
        <f>+'Zał.1_WPF_bazowy'!#REF!</f>
        <v>#REF!</v>
      </c>
      <c r="AI42" s="249" t="e">
        <f>+'Zał.1_WPF_bazowy'!#REF!</f>
        <v>#REF!</v>
      </c>
      <c r="AJ42" s="249" t="e">
        <f>+'Zał.1_WPF_bazowy'!#REF!</f>
        <v>#REF!</v>
      </c>
      <c r="AK42" s="249" t="e">
        <f>+'Zał.1_WPF_bazowy'!#REF!</f>
        <v>#REF!</v>
      </c>
      <c r="AL42" s="250" t="e">
        <f>+'Zał.1_WPF_bazowy'!#REF!</f>
        <v>#REF!</v>
      </c>
      <c r="IT42" s="253"/>
      <c r="IU42" s="253"/>
      <c r="IV42" s="253"/>
    </row>
    <row r="43" spans="1:256" ht="24" outlineLevel="2">
      <c r="A43" s="1" t="s">
        <v>8</v>
      </c>
      <c r="B43" s="242" t="s">
        <v>92</v>
      </c>
      <c r="C43" s="243" t="s">
        <v>430</v>
      </c>
      <c r="D43" s="251" t="s">
        <v>94</v>
      </c>
      <c r="E43" s="245">
        <f>'Zał.1_WPF_bazowy'!E36</f>
        <v>0</v>
      </c>
      <c r="F43" s="246">
        <f>'Zał.1_WPF_bazowy'!F36</f>
        <v>0</v>
      </c>
      <c r="G43" s="246">
        <f>'Zał.1_WPF_bazowy'!G36</f>
        <v>0</v>
      </c>
      <c r="H43" s="256">
        <f>+H44+H45+H46</f>
        <v>0</v>
      </c>
      <c r="I43" s="257">
        <f>+I44+I45+I46</f>
        <v>0</v>
      </c>
      <c r="J43" s="258">
        <f>+J44+J45+J46</f>
        <v>0</v>
      </c>
      <c r="K43" s="258">
        <f>+K44+K45+K46</f>
        <v>0</v>
      </c>
      <c r="L43" s="258">
        <f>+L44+L45+L46</f>
        <v>0</v>
      </c>
      <c r="M43" s="258">
        <f>+M44+M45+M46</f>
        <v>0</v>
      </c>
      <c r="N43" s="258">
        <f>+N44+N45+N46</f>
        <v>0</v>
      </c>
      <c r="O43" s="258">
        <f>+O44+O45+O46</f>
        <v>0</v>
      </c>
      <c r="P43" s="258">
        <f>+P44+P45+P46</f>
        <v>0</v>
      </c>
      <c r="Q43" s="258">
        <f>+Q44+Q45+Q46</f>
        <v>0</v>
      </c>
      <c r="R43" s="258" t="e">
        <f>+R44+R45+R46</f>
        <v>#REF!</v>
      </c>
      <c r="S43" s="258" t="e">
        <f>+S44+S45+S46</f>
        <v>#REF!</v>
      </c>
      <c r="T43" s="258" t="e">
        <f>+T44+T45+T46</f>
        <v>#REF!</v>
      </c>
      <c r="U43" s="258" t="e">
        <f>+U44+U45+U46</f>
        <v>#REF!</v>
      </c>
      <c r="V43" s="258" t="e">
        <f>+V44+V45+V46</f>
        <v>#REF!</v>
      </c>
      <c r="W43" s="258" t="e">
        <f>+W44+W45+W46</f>
        <v>#REF!</v>
      </c>
      <c r="X43" s="258" t="e">
        <f>+X44+X45+X46</f>
        <v>#REF!</v>
      </c>
      <c r="Y43" s="258" t="e">
        <f>+Y44+Y45+Y46</f>
        <v>#REF!</v>
      </c>
      <c r="Z43" s="258" t="e">
        <f>+Z44+Z45+Z46</f>
        <v>#REF!</v>
      </c>
      <c r="AA43" s="258" t="e">
        <f>+AA44+AA45+AA46</f>
        <v>#REF!</v>
      </c>
      <c r="AB43" s="258" t="e">
        <f>+AB44+AB45+AB46</f>
        <v>#REF!</v>
      </c>
      <c r="AC43" s="258" t="e">
        <f>+AC44+AC45+AC46</f>
        <v>#REF!</v>
      </c>
      <c r="AD43" s="258" t="e">
        <f>+AD44+AD45+AD46</f>
        <v>#REF!</v>
      </c>
      <c r="AE43" s="258" t="e">
        <f>+AE44+AE45+AE46</f>
        <v>#REF!</v>
      </c>
      <c r="AF43" s="258" t="e">
        <f>+AF44+AF45+AF46</f>
        <v>#REF!</v>
      </c>
      <c r="AG43" s="258" t="e">
        <f>+AG44+AG45+AG46</f>
        <v>#REF!</v>
      </c>
      <c r="AH43" s="258" t="e">
        <f>+AH44+AH45+AH46</f>
        <v>#REF!</v>
      </c>
      <c r="AI43" s="258" t="e">
        <f>+AI44+AI45+AI46</f>
        <v>#REF!</v>
      </c>
      <c r="AJ43" s="258" t="e">
        <f>+AJ44+AJ45+AJ46</f>
        <v>#REF!</v>
      </c>
      <c r="AK43" s="258" t="e">
        <f>+AK44+AK45+AK46</f>
        <v>#REF!</v>
      </c>
      <c r="AL43" s="256" t="e">
        <f>+AL44+AL45+AL46</f>
        <v>#REF!</v>
      </c>
      <c r="IT43" s="223"/>
      <c r="IU43" s="223"/>
      <c r="IV43" s="223"/>
    </row>
    <row r="44" spans="1:38" ht="14.25" outlineLevel="2">
      <c r="A44" s="1" t="s">
        <v>8</v>
      </c>
      <c r="B44" s="242" t="s">
        <v>95</v>
      </c>
      <c r="C44" s="243"/>
      <c r="D44" s="252" t="s">
        <v>97</v>
      </c>
      <c r="E44" s="245">
        <f>'Zał.1_WPF_bazowy'!E37</f>
        <v>0</v>
      </c>
      <c r="F44" s="246">
        <f>'Zał.1_WPF_bazowy'!F37</f>
        <v>0</v>
      </c>
      <c r="G44" s="246">
        <f>'Zał.1_WPF_bazowy'!G37</f>
        <v>0</v>
      </c>
      <c r="H44" s="247">
        <f>'Zał.1_WPF_bazowy'!H37</f>
        <v>0</v>
      </c>
      <c r="I44" s="248">
        <f>+'Zał.1_WPF_bazowy'!I37</f>
        <v>0</v>
      </c>
      <c r="J44" s="249">
        <f>+'Zał.1_WPF_bazowy'!J37</f>
        <v>0</v>
      </c>
      <c r="K44" s="249">
        <f>+'Zał.1_WPF_bazowy'!K37</f>
        <v>0</v>
      </c>
      <c r="L44" s="249">
        <f>+'Zał.1_WPF_bazowy'!L37</f>
        <v>0</v>
      </c>
      <c r="M44" s="249">
        <f>+'Zał.1_WPF_bazowy'!M37</f>
        <v>0</v>
      </c>
      <c r="N44" s="249">
        <f>+'Zał.1_WPF_bazowy'!N37</f>
        <v>0</v>
      </c>
      <c r="O44" s="249">
        <f>+'Zał.1_WPF_bazowy'!O37</f>
        <v>0</v>
      </c>
      <c r="P44" s="249">
        <f>+'Zał.1_WPF_bazowy'!P37</f>
        <v>0</v>
      </c>
      <c r="Q44" s="249">
        <f>+'Zał.1_WPF_bazowy'!Q37</f>
        <v>0</v>
      </c>
      <c r="R44" s="249" t="e">
        <f>+'Zał.1_WPF_bazowy'!#REF!</f>
        <v>#REF!</v>
      </c>
      <c r="S44" s="249" t="e">
        <f>+'Zał.1_WPF_bazowy'!#REF!</f>
        <v>#REF!</v>
      </c>
      <c r="T44" s="249" t="e">
        <f>+'Zał.1_WPF_bazowy'!#REF!</f>
        <v>#REF!</v>
      </c>
      <c r="U44" s="249" t="e">
        <f>+'Zał.1_WPF_bazowy'!#REF!</f>
        <v>#REF!</v>
      </c>
      <c r="V44" s="249" t="e">
        <f>+'Zał.1_WPF_bazowy'!#REF!</f>
        <v>#REF!</v>
      </c>
      <c r="W44" s="249" t="e">
        <f>+'Zał.1_WPF_bazowy'!#REF!</f>
        <v>#REF!</v>
      </c>
      <c r="X44" s="249" t="e">
        <f>+'Zał.1_WPF_bazowy'!#REF!</f>
        <v>#REF!</v>
      </c>
      <c r="Y44" s="249" t="e">
        <f>+'Zał.1_WPF_bazowy'!#REF!</f>
        <v>#REF!</v>
      </c>
      <c r="Z44" s="249" t="e">
        <f>+'Zał.1_WPF_bazowy'!#REF!</f>
        <v>#REF!</v>
      </c>
      <c r="AA44" s="249" t="e">
        <f>+'Zał.1_WPF_bazowy'!#REF!</f>
        <v>#REF!</v>
      </c>
      <c r="AB44" s="249" t="e">
        <f>+'Zał.1_WPF_bazowy'!#REF!</f>
        <v>#REF!</v>
      </c>
      <c r="AC44" s="249" t="e">
        <f>+'Zał.1_WPF_bazowy'!#REF!</f>
        <v>#REF!</v>
      </c>
      <c r="AD44" s="249" t="e">
        <f>+'Zał.1_WPF_bazowy'!#REF!</f>
        <v>#REF!</v>
      </c>
      <c r="AE44" s="249" t="e">
        <f>+'Zał.1_WPF_bazowy'!#REF!</f>
        <v>#REF!</v>
      </c>
      <c r="AF44" s="249" t="e">
        <f>+'Zał.1_WPF_bazowy'!#REF!</f>
        <v>#REF!</v>
      </c>
      <c r="AG44" s="249" t="e">
        <f>+'Zał.1_WPF_bazowy'!#REF!</f>
        <v>#REF!</v>
      </c>
      <c r="AH44" s="249" t="e">
        <f>+'Zał.1_WPF_bazowy'!#REF!</f>
        <v>#REF!</v>
      </c>
      <c r="AI44" s="249" t="e">
        <f>+'Zał.1_WPF_bazowy'!#REF!</f>
        <v>#REF!</v>
      </c>
      <c r="AJ44" s="249" t="e">
        <f>+'Zał.1_WPF_bazowy'!#REF!</f>
        <v>#REF!</v>
      </c>
      <c r="AK44" s="249" t="e">
        <f>+'Zał.1_WPF_bazowy'!#REF!</f>
        <v>#REF!</v>
      </c>
      <c r="AL44" s="250" t="e">
        <f>+'Zał.1_WPF_bazowy'!#REF!</f>
        <v>#REF!</v>
      </c>
    </row>
    <row r="45" spans="1:38" ht="14.25" outlineLevel="2">
      <c r="A45" s="1" t="s">
        <v>8</v>
      </c>
      <c r="B45" s="242" t="s">
        <v>98</v>
      </c>
      <c r="C45" s="243"/>
      <c r="D45" s="252" t="s">
        <v>100</v>
      </c>
      <c r="E45" s="245">
        <f>'Zał.1_WPF_bazowy'!E38</f>
        <v>0</v>
      </c>
      <c r="F45" s="246">
        <f>'Zał.1_WPF_bazowy'!F38</f>
        <v>0</v>
      </c>
      <c r="G45" s="246">
        <f>'Zał.1_WPF_bazowy'!G38</f>
        <v>0</v>
      </c>
      <c r="H45" s="247">
        <f>'Zał.1_WPF_bazowy'!H38</f>
        <v>0</v>
      </c>
      <c r="I45" s="248">
        <f>+'Zał.1_WPF_bazowy'!I38</f>
        <v>0</v>
      </c>
      <c r="J45" s="249">
        <f>+'Zał.1_WPF_bazowy'!J38</f>
        <v>0</v>
      </c>
      <c r="K45" s="249">
        <f>+'Zał.1_WPF_bazowy'!K38</f>
        <v>0</v>
      </c>
      <c r="L45" s="249">
        <f>+'Zał.1_WPF_bazowy'!L38</f>
        <v>0</v>
      </c>
      <c r="M45" s="249">
        <f>+'Zał.1_WPF_bazowy'!M38</f>
        <v>0</v>
      </c>
      <c r="N45" s="249">
        <f>+'Zał.1_WPF_bazowy'!N38</f>
        <v>0</v>
      </c>
      <c r="O45" s="249">
        <f>+'Zał.1_WPF_bazowy'!O38</f>
        <v>0</v>
      </c>
      <c r="P45" s="249">
        <f>+'Zał.1_WPF_bazowy'!P38</f>
        <v>0</v>
      </c>
      <c r="Q45" s="249">
        <f>+'Zał.1_WPF_bazowy'!Q38</f>
        <v>0</v>
      </c>
      <c r="R45" s="249" t="e">
        <f>+'Zał.1_WPF_bazowy'!#REF!</f>
        <v>#REF!</v>
      </c>
      <c r="S45" s="249" t="e">
        <f>+'Zał.1_WPF_bazowy'!#REF!</f>
        <v>#REF!</v>
      </c>
      <c r="T45" s="249" t="e">
        <f>+'Zał.1_WPF_bazowy'!#REF!</f>
        <v>#REF!</v>
      </c>
      <c r="U45" s="249" t="e">
        <f>+'Zał.1_WPF_bazowy'!#REF!</f>
        <v>#REF!</v>
      </c>
      <c r="V45" s="249" t="e">
        <f>+'Zał.1_WPF_bazowy'!#REF!</f>
        <v>#REF!</v>
      </c>
      <c r="W45" s="249" t="e">
        <f>+'Zał.1_WPF_bazowy'!#REF!</f>
        <v>#REF!</v>
      </c>
      <c r="X45" s="249" t="e">
        <f>+'Zał.1_WPF_bazowy'!#REF!</f>
        <v>#REF!</v>
      </c>
      <c r="Y45" s="249" t="e">
        <f>+'Zał.1_WPF_bazowy'!#REF!</f>
        <v>#REF!</v>
      </c>
      <c r="Z45" s="249" t="e">
        <f>+'Zał.1_WPF_bazowy'!#REF!</f>
        <v>#REF!</v>
      </c>
      <c r="AA45" s="249" t="e">
        <f>+'Zał.1_WPF_bazowy'!#REF!</f>
        <v>#REF!</v>
      </c>
      <c r="AB45" s="249" t="e">
        <f>+'Zał.1_WPF_bazowy'!#REF!</f>
        <v>#REF!</v>
      </c>
      <c r="AC45" s="249" t="e">
        <f>+'Zał.1_WPF_bazowy'!#REF!</f>
        <v>#REF!</v>
      </c>
      <c r="AD45" s="249" t="e">
        <f>+'Zał.1_WPF_bazowy'!#REF!</f>
        <v>#REF!</v>
      </c>
      <c r="AE45" s="249" t="e">
        <f>+'Zał.1_WPF_bazowy'!#REF!</f>
        <v>#REF!</v>
      </c>
      <c r="AF45" s="249" t="e">
        <f>+'Zał.1_WPF_bazowy'!#REF!</f>
        <v>#REF!</v>
      </c>
      <c r="AG45" s="249" t="e">
        <f>+'Zał.1_WPF_bazowy'!#REF!</f>
        <v>#REF!</v>
      </c>
      <c r="AH45" s="249" t="e">
        <f>+'Zał.1_WPF_bazowy'!#REF!</f>
        <v>#REF!</v>
      </c>
      <c r="AI45" s="249" t="e">
        <f>+'Zał.1_WPF_bazowy'!#REF!</f>
        <v>#REF!</v>
      </c>
      <c r="AJ45" s="249" t="e">
        <f>+'Zał.1_WPF_bazowy'!#REF!</f>
        <v>#REF!</v>
      </c>
      <c r="AK45" s="249" t="e">
        <f>+'Zał.1_WPF_bazowy'!#REF!</f>
        <v>#REF!</v>
      </c>
      <c r="AL45" s="250" t="e">
        <f>+'Zał.1_WPF_bazowy'!#REF!</f>
        <v>#REF!</v>
      </c>
    </row>
    <row r="46" spans="1:38" ht="14.25" outlineLevel="2">
      <c r="A46" s="1" t="s">
        <v>8</v>
      </c>
      <c r="B46" s="242" t="s">
        <v>101</v>
      </c>
      <c r="C46" s="243"/>
      <c r="D46" s="252" t="s">
        <v>103</v>
      </c>
      <c r="E46" s="245">
        <f>'Zał.1_WPF_bazowy'!E39</f>
        <v>0</v>
      </c>
      <c r="F46" s="246">
        <f>'Zał.1_WPF_bazowy'!F39</f>
        <v>0</v>
      </c>
      <c r="G46" s="246">
        <f>'Zał.1_WPF_bazowy'!G39</f>
        <v>0</v>
      </c>
      <c r="H46" s="247">
        <f>'Zał.1_WPF_bazowy'!H39</f>
        <v>0</v>
      </c>
      <c r="I46" s="248">
        <f>+'Zał.1_WPF_bazowy'!I39</f>
        <v>0</v>
      </c>
      <c r="J46" s="249">
        <f>+'Zał.1_WPF_bazowy'!J39</f>
        <v>0</v>
      </c>
      <c r="K46" s="249">
        <f>+'Zał.1_WPF_bazowy'!K39</f>
        <v>0</v>
      </c>
      <c r="L46" s="249">
        <f>+'Zał.1_WPF_bazowy'!L39</f>
        <v>0</v>
      </c>
      <c r="M46" s="249">
        <f>+'Zał.1_WPF_bazowy'!M39</f>
        <v>0</v>
      </c>
      <c r="N46" s="249">
        <f>+'Zał.1_WPF_bazowy'!N39</f>
        <v>0</v>
      </c>
      <c r="O46" s="249">
        <f>+'Zał.1_WPF_bazowy'!O39</f>
        <v>0</v>
      </c>
      <c r="P46" s="249">
        <f>+'Zał.1_WPF_bazowy'!P39</f>
        <v>0</v>
      </c>
      <c r="Q46" s="249">
        <f>+'Zał.1_WPF_bazowy'!Q39</f>
        <v>0</v>
      </c>
      <c r="R46" s="249" t="e">
        <f>+'Zał.1_WPF_bazowy'!#REF!</f>
        <v>#REF!</v>
      </c>
      <c r="S46" s="249" t="e">
        <f>+'Zał.1_WPF_bazowy'!#REF!</f>
        <v>#REF!</v>
      </c>
      <c r="T46" s="249" t="e">
        <f>+'Zał.1_WPF_bazowy'!#REF!</f>
        <v>#REF!</v>
      </c>
      <c r="U46" s="249" t="e">
        <f>+'Zał.1_WPF_bazowy'!#REF!</f>
        <v>#REF!</v>
      </c>
      <c r="V46" s="249" t="e">
        <f>+'Zał.1_WPF_bazowy'!#REF!</f>
        <v>#REF!</v>
      </c>
      <c r="W46" s="249" t="e">
        <f>+'Zał.1_WPF_bazowy'!#REF!</f>
        <v>#REF!</v>
      </c>
      <c r="X46" s="249" t="e">
        <f>+'Zał.1_WPF_bazowy'!#REF!</f>
        <v>#REF!</v>
      </c>
      <c r="Y46" s="249" t="e">
        <f>+'Zał.1_WPF_bazowy'!#REF!</f>
        <v>#REF!</v>
      </c>
      <c r="Z46" s="249" t="e">
        <f>+'Zał.1_WPF_bazowy'!#REF!</f>
        <v>#REF!</v>
      </c>
      <c r="AA46" s="249" t="e">
        <f>+'Zał.1_WPF_bazowy'!#REF!</f>
        <v>#REF!</v>
      </c>
      <c r="AB46" s="249" t="e">
        <f>+'Zał.1_WPF_bazowy'!#REF!</f>
        <v>#REF!</v>
      </c>
      <c r="AC46" s="249" t="e">
        <f>+'Zał.1_WPF_bazowy'!#REF!</f>
        <v>#REF!</v>
      </c>
      <c r="AD46" s="249" t="e">
        <f>+'Zał.1_WPF_bazowy'!#REF!</f>
        <v>#REF!</v>
      </c>
      <c r="AE46" s="249" t="e">
        <f>+'Zał.1_WPF_bazowy'!#REF!</f>
        <v>#REF!</v>
      </c>
      <c r="AF46" s="249" t="e">
        <f>+'Zał.1_WPF_bazowy'!#REF!</f>
        <v>#REF!</v>
      </c>
      <c r="AG46" s="249" t="e">
        <f>+'Zał.1_WPF_bazowy'!#REF!</f>
        <v>#REF!</v>
      </c>
      <c r="AH46" s="249" t="e">
        <f>+'Zał.1_WPF_bazowy'!#REF!</f>
        <v>#REF!</v>
      </c>
      <c r="AI46" s="249" t="e">
        <f>+'Zał.1_WPF_bazowy'!#REF!</f>
        <v>#REF!</v>
      </c>
      <c r="AJ46" s="249" t="e">
        <f>+'Zał.1_WPF_bazowy'!#REF!</f>
        <v>#REF!</v>
      </c>
      <c r="AK46" s="249" t="e">
        <f>+'Zał.1_WPF_bazowy'!#REF!</f>
        <v>#REF!</v>
      </c>
      <c r="AL46" s="250" t="e">
        <f>+'Zał.1_WPF_bazowy'!#REF!</f>
        <v>#REF!</v>
      </c>
    </row>
    <row r="47" spans="1:38" ht="14.25" outlineLevel="2">
      <c r="A47" s="1"/>
      <c r="B47" s="242" t="s">
        <v>104</v>
      </c>
      <c r="C47" s="243"/>
      <c r="D47" s="244" t="s">
        <v>105</v>
      </c>
      <c r="E47" s="245">
        <f>'Zał.1_WPF_bazowy'!E40</f>
        <v>0</v>
      </c>
      <c r="F47" s="246">
        <f>'Zał.1_WPF_bazowy'!F40</f>
        <v>0</v>
      </c>
      <c r="G47" s="246">
        <f>'Zał.1_WPF_bazowy'!G40</f>
        <v>0</v>
      </c>
      <c r="H47" s="247">
        <f>'Zał.1_WPF_bazowy'!H40</f>
        <v>0</v>
      </c>
      <c r="I47" s="248">
        <f>+'Zał.1_WPF_bazowy'!I40</f>
        <v>0</v>
      </c>
      <c r="J47" s="249">
        <f>+'Zał.1_WPF_bazowy'!J40</f>
        <v>0</v>
      </c>
      <c r="K47" s="249">
        <f>+'Zał.1_WPF_bazowy'!K40</f>
        <v>0</v>
      </c>
      <c r="L47" s="249">
        <f>+'Zał.1_WPF_bazowy'!L40</f>
        <v>0</v>
      </c>
      <c r="M47" s="249">
        <f>+'Zał.1_WPF_bazowy'!M40</f>
        <v>0</v>
      </c>
      <c r="N47" s="249">
        <f>+'Zał.1_WPF_bazowy'!N40</f>
        <v>0</v>
      </c>
      <c r="O47" s="249">
        <f>+'Zał.1_WPF_bazowy'!O40</f>
        <v>0</v>
      </c>
      <c r="P47" s="249">
        <f>+'Zał.1_WPF_bazowy'!P40</f>
        <v>0</v>
      </c>
      <c r="Q47" s="249">
        <f>+'Zał.1_WPF_bazowy'!Q40</f>
        <v>0</v>
      </c>
      <c r="R47" s="249" t="e">
        <f>+'Zał.1_WPF_bazowy'!#REF!</f>
        <v>#REF!</v>
      </c>
      <c r="S47" s="249" t="e">
        <f>+'Zał.1_WPF_bazowy'!#REF!</f>
        <v>#REF!</v>
      </c>
      <c r="T47" s="249" t="e">
        <f>+'Zał.1_WPF_bazowy'!#REF!</f>
        <v>#REF!</v>
      </c>
      <c r="U47" s="249" t="e">
        <f>+'Zał.1_WPF_bazowy'!#REF!</f>
        <v>#REF!</v>
      </c>
      <c r="V47" s="249" t="e">
        <f>+'Zał.1_WPF_bazowy'!#REF!</f>
        <v>#REF!</v>
      </c>
      <c r="W47" s="249" t="e">
        <f>+'Zał.1_WPF_bazowy'!#REF!</f>
        <v>#REF!</v>
      </c>
      <c r="X47" s="249" t="e">
        <f>+'Zał.1_WPF_bazowy'!#REF!</f>
        <v>#REF!</v>
      </c>
      <c r="Y47" s="249" t="e">
        <f>+'Zał.1_WPF_bazowy'!#REF!</f>
        <v>#REF!</v>
      </c>
      <c r="Z47" s="249" t="e">
        <f>+'Zał.1_WPF_bazowy'!#REF!</f>
        <v>#REF!</v>
      </c>
      <c r="AA47" s="249" t="e">
        <f>+'Zał.1_WPF_bazowy'!#REF!</f>
        <v>#REF!</v>
      </c>
      <c r="AB47" s="249" t="e">
        <f>+'Zał.1_WPF_bazowy'!#REF!</f>
        <v>#REF!</v>
      </c>
      <c r="AC47" s="249" t="e">
        <f>+'Zał.1_WPF_bazowy'!#REF!</f>
        <v>#REF!</v>
      </c>
      <c r="AD47" s="249" t="e">
        <f>+'Zał.1_WPF_bazowy'!#REF!</f>
        <v>#REF!</v>
      </c>
      <c r="AE47" s="249" t="e">
        <f>+'Zał.1_WPF_bazowy'!#REF!</f>
        <v>#REF!</v>
      </c>
      <c r="AF47" s="249" t="e">
        <f>+'Zał.1_WPF_bazowy'!#REF!</f>
        <v>#REF!</v>
      </c>
      <c r="AG47" s="249" t="e">
        <f>+'Zał.1_WPF_bazowy'!#REF!</f>
        <v>#REF!</v>
      </c>
      <c r="AH47" s="249" t="e">
        <f>+'Zał.1_WPF_bazowy'!#REF!</f>
        <v>#REF!</v>
      </c>
      <c r="AI47" s="249" t="e">
        <f>+'Zał.1_WPF_bazowy'!#REF!</f>
        <v>#REF!</v>
      </c>
      <c r="AJ47" s="249" t="e">
        <f>+'Zał.1_WPF_bazowy'!#REF!</f>
        <v>#REF!</v>
      </c>
      <c r="AK47" s="249" t="e">
        <f>+'Zał.1_WPF_bazowy'!#REF!</f>
        <v>#REF!</v>
      </c>
      <c r="AL47" s="250" t="e">
        <f>+'Zał.1_WPF_bazowy'!#REF!</f>
        <v>#REF!</v>
      </c>
    </row>
    <row r="48" spans="1:38" s="241" customFormat="1" ht="15" outlineLevel="1">
      <c r="A48" s="1" t="s">
        <v>8</v>
      </c>
      <c r="B48" s="233">
        <v>6</v>
      </c>
      <c r="C48" s="234"/>
      <c r="D48" s="235" t="s">
        <v>106</v>
      </c>
      <c r="E48" s="236">
        <f>'Zał.1_WPF_bazowy'!E41</f>
        <v>15503368.16</v>
      </c>
      <c r="F48" s="237">
        <f>'Zał.1_WPF_bazowy'!F41</f>
        <v>15985808</v>
      </c>
      <c r="G48" s="237">
        <f>'Zał.1_WPF_bazowy'!G41</f>
        <v>17522808</v>
      </c>
      <c r="H48" s="259">
        <f>'Zał.1_WPF_bazowy'!H41</f>
        <v>16570116</v>
      </c>
      <c r="I48" s="260">
        <f>+IF(I10&lt;&gt;0,H48+I37-I42+(I105-H105)+I110,0)</f>
        <v>16170116</v>
      </c>
      <c r="J48" s="261">
        <f>+IF(J10&lt;&gt;0,I48+J37-J42+(J105-I105)+J110,0)</f>
        <v>14691912</v>
      </c>
      <c r="K48" s="261">
        <f>+IF(K10&lt;&gt;0,J48+K37-K42+(K105-J105)+K110,0)</f>
        <v>13013708</v>
      </c>
      <c r="L48" s="261">
        <f>+IF(L10&lt;&gt;0,K48+L37-L42+(L105-K105)+L110,0)</f>
        <v>11153704</v>
      </c>
      <c r="M48" s="261">
        <f>+IF(M10&lt;&gt;0,L48+M37-M42+(M105-L105)+M110,0)</f>
        <v>8943700</v>
      </c>
      <c r="N48" s="261">
        <f>+IF(N10&lt;&gt;0,M48+N37-N42+(N105-M105)+N110,0)</f>
        <v>6733696</v>
      </c>
      <c r="O48" s="261">
        <f>+IF(O10&lt;&gt;0,N48+O37-O42+(O105-N105)+O110,0)</f>
        <v>4483692</v>
      </c>
      <c r="P48" s="261">
        <f>+IF(P10&lt;&gt;0,O48+P37-P42+(P105-O105)+P110,0)</f>
        <v>2065692</v>
      </c>
      <c r="Q48" s="261">
        <f>+IF(Q10&lt;&gt;0,P48+Q37-Q42+(Q105-P105)+Q110,0)</f>
        <v>0</v>
      </c>
      <c r="R48" s="261" t="e">
        <f>+IF(R10&lt;&gt;0,Q48+R37-R42+(R105-Q105)+R110,0)</f>
        <v>#REF!</v>
      </c>
      <c r="S48" s="261" t="e">
        <f>+IF(S10&lt;&gt;0,R48+S37-S42+(S105-R105)+S110,0)</f>
        <v>#REF!</v>
      </c>
      <c r="T48" s="261" t="e">
        <f>+IF(T10&lt;&gt;0,S48+T37-T42+(T105-S105)+T110,0)</f>
        <v>#REF!</v>
      </c>
      <c r="U48" s="261" t="e">
        <f>+IF(U10&lt;&gt;0,T48+U37-U42+(U105-T105)+U110,0)</f>
        <v>#REF!</v>
      </c>
      <c r="V48" s="261" t="e">
        <f>+IF(V10&lt;&gt;0,U48+V37-V42+(V105-U105)+V110,0)</f>
        <v>#REF!</v>
      </c>
      <c r="W48" s="261" t="e">
        <f>+IF(W10&lt;&gt;0,V48+W37-W42+(W105-V105)+W110,0)</f>
        <v>#REF!</v>
      </c>
      <c r="X48" s="261" t="e">
        <f>+IF(X10&lt;&gt;0,W48+X37-X42+(X105-W105)+X110,0)</f>
        <v>#REF!</v>
      </c>
      <c r="Y48" s="261" t="e">
        <f>+IF(Y10&lt;&gt;0,X48+Y37-Y42+(Y105-X105)+Y110,0)</f>
        <v>#REF!</v>
      </c>
      <c r="Z48" s="261" t="e">
        <f>+IF(Z10&lt;&gt;0,Y48+Z37-Z42+(Z105-Y105)+Z110,0)</f>
        <v>#REF!</v>
      </c>
      <c r="AA48" s="261" t="e">
        <f>+IF(AA10&lt;&gt;0,Z48+AA37-AA42+(AA105-Z105)+AA110,0)</f>
        <v>#REF!</v>
      </c>
      <c r="AB48" s="261" t="e">
        <f>+IF(AB10&lt;&gt;0,AA48+AB37-AB42+(AB105-AA105)+AB110,0)</f>
        <v>#REF!</v>
      </c>
      <c r="AC48" s="261" t="e">
        <f>+IF(AC10&lt;&gt;0,AB48+AC37-AC42+(AC105-AB105)+AC110,0)</f>
        <v>#REF!</v>
      </c>
      <c r="AD48" s="261" t="e">
        <f>+IF(AD10&lt;&gt;0,AC48+AD37-AD42+(AD105-AC105)+AD110,0)</f>
        <v>#REF!</v>
      </c>
      <c r="AE48" s="261" t="e">
        <f>+IF(AE10&lt;&gt;0,AD48+AE37-AE42+(AE105-AD105)+AE110,0)</f>
        <v>#REF!</v>
      </c>
      <c r="AF48" s="261" t="e">
        <f>+IF(AF10&lt;&gt;0,AE48+AF37-AF42+(AF105-AE105)+AF110,0)</f>
        <v>#REF!</v>
      </c>
      <c r="AG48" s="261" t="e">
        <f>+IF(AG10&lt;&gt;0,AF48+AG37-AG42+(AG105-AF105)+AG110,0)</f>
        <v>#REF!</v>
      </c>
      <c r="AH48" s="261" t="e">
        <f>+IF(AH10&lt;&gt;0,AG48+AH37-AH42+(AH105-AG105)+AH110,0)</f>
        <v>#REF!</v>
      </c>
      <c r="AI48" s="261" t="e">
        <f>+IF(AI10&lt;&gt;0,AH48+AI37-AI42+(AI105-AH105)+AI110,0)</f>
        <v>#REF!</v>
      </c>
      <c r="AJ48" s="261" t="e">
        <f>+IF(AJ10&lt;&gt;0,AI48+AJ37-AJ42+(AJ105-AI105)+AJ110,0)</f>
        <v>#REF!</v>
      </c>
      <c r="AK48" s="261" t="e">
        <f>+IF(AK10&lt;&gt;0,AJ48+AK37-AK42+(AK105-AJ105)+AK110,0)</f>
        <v>#REF!</v>
      </c>
      <c r="AL48" s="262" t="e">
        <f>+IF(AL10&lt;&gt;0,AK48+AL37-AL42+(AL105-AK105)+AL110,0)</f>
        <v>#REF!</v>
      </c>
    </row>
    <row r="49" spans="1:38" s="241" customFormat="1" ht="24" outlineLevel="1">
      <c r="A49" s="1"/>
      <c r="B49" s="233">
        <v>7</v>
      </c>
      <c r="C49" s="234"/>
      <c r="D49" s="235" t="s">
        <v>107</v>
      </c>
      <c r="E49" s="236">
        <f>'Zał.1_WPF_bazowy'!E42</f>
        <v>0</v>
      </c>
      <c r="F49" s="237">
        <f>'Zał.1_WPF_bazowy'!F42</f>
        <v>0</v>
      </c>
      <c r="G49" s="237">
        <f>'Zał.1_WPF_bazowy'!G42</f>
        <v>0</v>
      </c>
      <c r="H49" s="259">
        <f>'Zał.1_WPF_bazowy'!H42</f>
        <v>0</v>
      </c>
      <c r="I49" s="263">
        <f>+'Zał.1_WPF_bazowy'!I42</f>
        <v>0</v>
      </c>
      <c r="J49" s="264">
        <f>+'Zał.1_WPF_bazowy'!J42</f>
        <v>0</v>
      </c>
      <c r="K49" s="264">
        <f>+'Zał.1_WPF_bazowy'!K42</f>
        <v>0</v>
      </c>
      <c r="L49" s="264">
        <f>+'Zał.1_WPF_bazowy'!L42</f>
        <v>0</v>
      </c>
      <c r="M49" s="264">
        <f>+'Zał.1_WPF_bazowy'!M42</f>
        <v>0</v>
      </c>
      <c r="N49" s="264">
        <f>+'Zał.1_WPF_bazowy'!N42</f>
        <v>0</v>
      </c>
      <c r="O49" s="264">
        <f>+'Zał.1_WPF_bazowy'!O42</f>
        <v>0</v>
      </c>
      <c r="P49" s="264">
        <f>+'Zał.1_WPF_bazowy'!P42</f>
        <v>0</v>
      </c>
      <c r="Q49" s="264">
        <f>+'Zał.1_WPF_bazowy'!Q42</f>
        <v>0</v>
      </c>
      <c r="R49" s="264" t="e">
        <f>+'Zał.1_WPF_bazowy'!#REF!</f>
        <v>#REF!</v>
      </c>
      <c r="S49" s="264" t="e">
        <f>+'Zał.1_WPF_bazowy'!#REF!</f>
        <v>#REF!</v>
      </c>
      <c r="T49" s="264" t="e">
        <f>+'Zał.1_WPF_bazowy'!#REF!</f>
        <v>#REF!</v>
      </c>
      <c r="U49" s="264" t="e">
        <f>+'Zał.1_WPF_bazowy'!#REF!</f>
        <v>#REF!</v>
      </c>
      <c r="V49" s="264" t="e">
        <f>+'Zał.1_WPF_bazowy'!#REF!</f>
        <v>#REF!</v>
      </c>
      <c r="W49" s="264" t="e">
        <f>+'Zał.1_WPF_bazowy'!#REF!</f>
        <v>#REF!</v>
      </c>
      <c r="X49" s="264" t="e">
        <f>+'Zał.1_WPF_bazowy'!#REF!</f>
        <v>#REF!</v>
      </c>
      <c r="Y49" s="264" t="e">
        <f>+'Zał.1_WPF_bazowy'!#REF!</f>
        <v>#REF!</v>
      </c>
      <c r="Z49" s="264" t="e">
        <f>+'Zał.1_WPF_bazowy'!#REF!</f>
        <v>#REF!</v>
      </c>
      <c r="AA49" s="264" t="e">
        <f>+'Zał.1_WPF_bazowy'!#REF!</f>
        <v>#REF!</v>
      </c>
      <c r="AB49" s="264" t="e">
        <f>+'Zał.1_WPF_bazowy'!#REF!</f>
        <v>#REF!</v>
      </c>
      <c r="AC49" s="264" t="e">
        <f>+'Zał.1_WPF_bazowy'!#REF!</f>
        <v>#REF!</v>
      </c>
      <c r="AD49" s="264" t="e">
        <f>+'Zał.1_WPF_bazowy'!#REF!</f>
        <v>#REF!</v>
      </c>
      <c r="AE49" s="264" t="e">
        <f>+'Zał.1_WPF_bazowy'!#REF!</f>
        <v>#REF!</v>
      </c>
      <c r="AF49" s="264" t="e">
        <f>+'Zał.1_WPF_bazowy'!#REF!</f>
        <v>#REF!</v>
      </c>
      <c r="AG49" s="264" t="e">
        <f>+'Zał.1_WPF_bazowy'!#REF!</f>
        <v>#REF!</v>
      </c>
      <c r="AH49" s="264" t="e">
        <f>+'Zał.1_WPF_bazowy'!#REF!</f>
        <v>#REF!</v>
      </c>
      <c r="AI49" s="264" t="e">
        <f>+'Zał.1_WPF_bazowy'!#REF!</f>
        <v>#REF!</v>
      </c>
      <c r="AJ49" s="264" t="e">
        <f>+'Zał.1_WPF_bazowy'!#REF!</f>
        <v>#REF!</v>
      </c>
      <c r="AK49" s="264" t="e">
        <f>+'Zał.1_WPF_bazowy'!#REF!</f>
        <v>#REF!</v>
      </c>
      <c r="AL49" s="265" t="e">
        <f>+'Zał.1_WPF_bazowy'!#REF!</f>
        <v>#REF!</v>
      </c>
    </row>
    <row r="50" spans="1:38" s="241" customFormat="1" ht="15" outlineLevel="1">
      <c r="A50" s="1"/>
      <c r="B50" s="233">
        <v>8</v>
      </c>
      <c r="C50" s="234"/>
      <c r="D50" s="235" t="s">
        <v>108</v>
      </c>
      <c r="E50" s="266" t="s">
        <v>8</v>
      </c>
      <c r="F50" s="267" t="s">
        <v>8</v>
      </c>
      <c r="G50" s="267" t="s">
        <v>8</v>
      </c>
      <c r="H50" s="268" t="s">
        <v>8</v>
      </c>
      <c r="I50" s="269" t="s">
        <v>8</v>
      </c>
      <c r="J50" s="270" t="s">
        <v>8</v>
      </c>
      <c r="K50" s="270" t="s">
        <v>8</v>
      </c>
      <c r="L50" s="270" t="s">
        <v>8</v>
      </c>
      <c r="M50" s="270" t="s">
        <v>8</v>
      </c>
      <c r="N50" s="270" t="s">
        <v>8</v>
      </c>
      <c r="O50" s="270" t="s">
        <v>8</v>
      </c>
      <c r="P50" s="270" t="s">
        <v>8</v>
      </c>
      <c r="Q50" s="270" t="s">
        <v>8</v>
      </c>
      <c r="R50" s="270" t="s">
        <v>8</v>
      </c>
      <c r="S50" s="270" t="s">
        <v>8</v>
      </c>
      <c r="T50" s="270" t="s">
        <v>8</v>
      </c>
      <c r="U50" s="270" t="s">
        <v>8</v>
      </c>
      <c r="V50" s="270" t="s">
        <v>8</v>
      </c>
      <c r="W50" s="270" t="s">
        <v>8</v>
      </c>
      <c r="X50" s="270" t="s">
        <v>8</v>
      </c>
      <c r="Y50" s="270" t="s">
        <v>8</v>
      </c>
      <c r="Z50" s="270" t="s">
        <v>8</v>
      </c>
      <c r="AA50" s="270" t="s">
        <v>8</v>
      </c>
      <c r="AB50" s="270" t="s">
        <v>8</v>
      </c>
      <c r="AC50" s="270" t="s">
        <v>8</v>
      </c>
      <c r="AD50" s="270" t="s">
        <v>8</v>
      </c>
      <c r="AE50" s="270" t="s">
        <v>8</v>
      </c>
      <c r="AF50" s="270" t="s">
        <v>8</v>
      </c>
      <c r="AG50" s="270" t="s">
        <v>8</v>
      </c>
      <c r="AH50" s="270" t="s">
        <v>8</v>
      </c>
      <c r="AI50" s="270" t="s">
        <v>8</v>
      </c>
      <c r="AJ50" s="270" t="s">
        <v>8</v>
      </c>
      <c r="AK50" s="270" t="s">
        <v>8</v>
      </c>
      <c r="AL50" s="271" t="s">
        <v>8</v>
      </c>
    </row>
    <row r="51" spans="1:38" ht="14.25" outlineLevel="2">
      <c r="A51" s="1"/>
      <c r="B51" s="242" t="s">
        <v>109</v>
      </c>
      <c r="C51" s="243" t="s">
        <v>431</v>
      </c>
      <c r="D51" s="244" t="s">
        <v>111</v>
      </c>
      <c r="E51" s="245">
        <f>'Zał.1_WPF_bazowy'!E44</f>
        <v>2126924.56</v>
      </c>
      <c r="F51" s="246">
        <f>'Zał.1_WPF_bazowy'!F44</f>
        <v>2820812.79</v>
      </c>
      <c r="G51" s="246">
        <f>'Zał.1_WPF_bazowy'!G44</f>
        <v>1779431.18</v>
      </c>
      <c r="H51" s="256">
        <f>+H11-H22</f>
        <v>2650082.589999996</v>
      </c>
      <c r="I51" s="257">
        <f>+I11-I22</f>
        <v>1132446.8200000003</v>
      </c>
      <c r="J51" s="258">
        <f>+J11-J22</f>
        <v>3000000</v>
      </c>
      <c r="K51" s="258">
        <f>+K11-K22</f>
        <v>3400000</v>
      </c>
      <c r="L51" s="258">
        <f>+L11-L22</f>
        <v>3900000</v>
      </c>
      <c r="M51" s="258">
        <f>+M11-M22</f>
        <v>4400000</v>
      </c>
      <c r="N51" s="258">
        <f>+N11-N22</f>
        <v>4900000</v>
      </c>
      <c r="O51" s="258">
        <f>+O11-O22</f>
        <v>5400000</v>
      </c>
      <c r="P51" s="258">
        <f>+P11-P22</f>
        <v>5900000</v>
      </c>
      <c r="Q51" s="258">
        <f>+Q11-Q22</f>
        <v>6400000</v>
      </c>
      <c r="R51" s="258" t="e">
        <f>+R11-R22</f>
        <v>#REF!</v>
      </c>
      <c r="S51" s="258" t="e">
        <f>+S11-S22</f>
        <v>#REF!</v>
      </c>
      <c r="T51" s="258" t="e">
        <f>+T11-T22</f>
        <v>#REF!</v>
      </c>
      <c r="U51" s="258" t="e">
        <f>+U11-U22</f>
        <v>#REF!</v>
      </c>
      <c r="V51" s="258" t="e">
        <f>+V11-V22</f>
        <v>#REF!</v>
      </c>
      <c r="W51" s="258" t="e">
        <f>+W11-W22</f>
        <v>#REF!</v>
      </c>
      <c r="X51" s="258" t="e">
        <f>+X11-X22</f>
        <v>#REF!</v>
      </c>
      <c r="Y51" s="258" t="e">
        <f>+Y11-Y22</f>
        <v>#REF!</v>
      </c>
      <c r="Z51" s="258" t="e">
        <f>+Z11-Z22</f>
        <v>#REF!</v>
      </c>
      <c r="AA51" s="258" t="e">
        <f>+AA11-AA22</f>
        <v>#REF!</v>
      </c>
      <c r="AB51" s="258" t="e">
        <f>+AB11-AB22</f>
        <v>#REF!</v>
      </c>
      <c r="AC51" s="258" t="e">
        <f>+AC11-AC22</f>
        <v>#REF!</v>
      </c>
      <c r="AD51" s="258" t="e">
        <f>+AD11-AD22</f>
        <v>#REF!</v>
      </c>
      <c r="AE51" s="258" t="e">
        <f>+AE11-AE22</f>
        <v>#REF!</v>
      </c>
      <c r="AF51" s="258" t="e">
        <f>+AF11-AF22</f>
        <v>#REF!</v>
      </c>
      <c r="AG51" s="258" t="e">
        <f>+AG11-AG22</f>
        <v>#REF!</v>
      </c>
      <c r="AH51" s="258" t="e">
        <f>+AH11-AH22</f>
        <v>#REF!</v>
      </c>
      <c r="AI51" s="258" t="e">
        <f>+AI11-AI22</f>
        <v>#REF!</v>
      </c>
      <c r="AJ51" s="258" t="e">
        <f>+AJ11-AJ22</f>
        <v>#REF!</v>
      </c>
      <c r="AK51" s="258" t="e">
        <f>+AK11-AK22</f>
        <v>#REF!</v>
      </c>
      <c r="AL51" s="256" t="e">
        <f>+AL11-AL22</f>
        <v>#REF!</v>
      </c>
    </row>
    <row r="52" spans="1:38" ht="24" outlineLevel="2">
      <c r="A52" s="1"/>
      <c r="B52" s="242" t="s">
        <v>112</v>
      </c>
      <c r="C52" s="243" t="s">
        <v>432</v>
      </c>
      <c r="D52" s="244" t="s">
        <v>114</v>
      </c>
      <c r="E52" s="245">
        <f>+IF(AND(E9&gt;=2013,E9&lt;=2015),+E11+E33+E35-(E22-E25),+E11+E33+E35-E22)</f>
        <v>4734335.780000005</v>
      </c>
      <c r="F52" s="246">
        <f>+IF(AND(F9&gt;=2013,F9&lt;=2015),+F11+F33+F35-(F22-F25),+F11+F33+F35-F22)</f>
        <v>5323250.300000001</v>
      </c>
      <c r="G52" s="246">
        <f>+IF(AND(G9&gt;=2013,G9&lt;=2015),+G11+G33+G35-(G22-G25),+G11+G33+G35-G22)</f>
        <v>6172829.560000006</v>
      </c>
      <c r="H52" s="256">
        <f>+IF(AND(H9&gt;=2013,H9&lt;=2015),+H11+H33+H35-(H22-H25),+H11+H33+H35-H22)</f>
        <v>7043480.969999999</v>
      </c>
      <c r="I52" s="257">
        <f>+IF(AND(I9&gt;=2013,I9&lt;=2015),+I11+I33+I35-(I22-I25),+I11+I33+I35-I22)</f>
        <v>3536355.200000003</v>
      </c>
      <c r="J52" s="258">
        <f>+IF(AND(J9&gt;=2013,J9&lt;=2015),+J11+J33+J35-(J22-J25),+J11+J33+J35-J22)</f>
        <v>3000000</v>
      </c>
      <c r="K52" s="258">
        <f>+IF(AND(K9&gt;=2013,K9&lt;=2015),+K11+K33+K35-(K22-K25),+K11+K33+K35-K22)</f>
        <v>3400000</v>
      </c>
      <c r="L52" s="258">
        <f>+IF(AND(L9&gt;=2013,L9&lt;=2015),+L11+L33+L35-(L22-L25),+L11+L33+L35-L22)</f>
        <v>3900000</v>
      </c>
      <c r="M52" s="258">
        <f>+IF(AND(M9&gt;=2013,M9&lt;=2015),+M11+M33+M35-(M22-M25),+M11+M33+M35-M22)</f>
        <v>4400000</v>
      </c>
      <c r="N52" s="258">
        <f>+IF(AND(N9&gt;=2013,N9&lt;=2015),+N11+N33+N35-(N22-N25),+N11+N33+N35-N22)</f>
        <v>4900000</v>
      </c>
      <c r="O52" s="258">
        <f>+IF(AND(O9&gt;=2013,O9&lt;=2015),+O11+O33+O35-(O22-O25),+O11+O33+O35-O22)</f>
        <v>5400000</v>
      </c>
      <c r="P52" s="258">
        <f>+IF(AND(P9&gt;=2013,P9&lt;=2015),+P11+P33+P35-(P22-P25),+P11+P33+P35-P22)</f>
        <v>5900000</v>
      </c>
      <c r="Q52" s="258">
        <f>+IF(AND(Q9&gt;=2013,Q9&lt;=2015),+Q11+Q33+Q35-(Q22-Q25),+Q11+Q33+Q35-Q22)</f>
        <v>6400000</v>
      </c>
      <c r="R52" s="258" t="e">
        <f>+IF(AND(R9&gt;=2013,R9&lt;=2015),+R11+R33+R35-(R22-R25),+R11+R33+R35-R22)</f>
        <v>#REF!</v>
      </c>
      <c r="S52" s="258" t="e">
        <f>+IF(AND(S9&gt;=2013,S9&lt;=2015),+S11+S33+S35-(S22-S25),+S11+S33+S35-S22)</f>
        <v>#REF!</v>
      </c>
      <c r="T52" s="258" t="e">
        <f>+IF(AND(T9&gt;=2013,T9&lt;=2015),+T11+T33+T35-(T22-T25),+T11+T33+T35-T22)</f>
        <v>#REF!</v>
      </c>
      <c r="U52" s="258" t="e">
        <f>+IF(AND(U9&gt;=2013,U9&lt;=2015),+U11+U33+U35-(U22-U25),+U11+U33+U35-U22)</f>
        <v>#REF!</v>
      </c>
      <c r="V52" s="258" t="e">
        <f>+IF(AND(V9&gt;=2013,V9&lt;=2015),+V11+V33+V35-(V22-V25),+V11+V33+V35-V22)</f>
        <v>#REF!</v>
      </c>
      <c r="W52" s="258" t="e">
        <f>+IF(AND(W9&gt;=2013,W9&lt;=2015),+W11+W33+W35-(W22-W25),+W11+W33+W35-W22)</f>
        <v>#REF!</v>
      </c>
      <c r="X52" s="258" t="e">
        <f>+IF(AND(X9&gt;=2013,X9&lt;=2015),+X11+X33+X35-(X22-X25),+X11+X33+X35-X22)</f>
        <v>#REF!</v>
      </c>
      <c r="Y52" s="258" t="e">
        <f>+IF(AND(Y9&gt;=2013,Y9&lt;=2015),+Y11+Y33+Y35-(Y22-Y25),+Y11+Y33+Y35-Y22)</f>
        <v>#REF!</v>
      </c>
      <c r="Z52" s="258" t="e">
        <f>+IF(AND(Z9&gt;=2013,Z9&lt;=2015),+Z11+Z33+Z35-(Z22-Z25),+Z11+Z33+Z35-Z22)</f>
        <v>#REF!</v>
      </c>
      <c r="AA52" s="258" t="e">
        <f>+IF(AND(AA9&gt;=2013,AA9&lt;=2015),+AA11+AA33+AA35-(AA22-AA25),+AA11+AA33+AA35-AA22)</f>
        <v>#REF!</v>
      </c>
      <c r="AB52" s="258" t="e">
        <f>+IF(AND(AB9&gt;=2013,AB9&lt;=2015),+AB11+AB33+AB35-(AB22-AB25),+AB11+AB33+AB35-AB22)</f>
        <v>#REF!</v>
      </c>
      <c r="AC52" s="258" t="e">
        <f>+IF(AND(AC9&gt;=2013,AC9&lt;=2015),+AC11+AC33+AC35-(AC22-AC25),+AC11+AC33+AC35-AC22)</f>
        <v>#REF!</v>
      </c>
      <c r="AD52" s="258" t="e">
        <f>+IF(AND(AD9&gt;=2013,AD9&lt;=2015),+AD11+AD33+AD35-(AD22-AD25),+AD11+AD33+AD35-AD22)</f>
        <v>#REF!</v>
      </c>
      <c r="AE52" s="258" t="e">
        <f>+IF(AND(AE9&gt;=2013,AE9&lt;=2015),+AE11+AE33+AE35-(AE22-AE25),+AE11+AE33+AE35-AE22)</f>
        <v>#REF!</v>
      </c>
      <c r="AF52" s="258" t="e">
        <f>+IF(AND(AF9&gt;=2013,AF9&lt;=2015),+AF11+AF33+AF35-(AF22-AF25),+AF11+AF33+AF35-AF22)</f>
        <v>#REF!</v>
      </c>
      <c r="AG52" s="258" t="e">
        <f>+IF(AND(AG9&gt;=2013,AG9&lt;=2015),+AG11+AG33+AG35-(AG22-AG25),+AG11+AG33+AG35-AG22)</f>
        <v>#REF!</v>
      </c>
      <c r="AH52" s="258" t="e">
        <f>+IF(AND(AH9&gt;=2013,AH9&lt;=2015),+AH11+AH33+AH35-(AH22-AH25),+AH11+AH33+AH35-AH22)</f>
        <v>#REF!</v>
      </c>
      <c r="AI52" s="258" t="e">
        <f>+IF(AND(AI9&gt;=2013,AI9&lt;=2015),+AI11+AI33+AI35-(AI22-AI25),+AI11+AI33+AI35-AI22)</f>
        <v>#REF!</v>
      </c>
      <c r="AJ52" s="258" t="e">
        <f>+IF(AND(AJ9&gt;=2013,AJ9&lt;=2015),+AJ11+AJ33+AJ35-(AJ22-AJ25),+AJ11+AJ33+AJ35-AJ22)</f>
        <v>#REF!</v>
      </c>
      <c r="AK52" s="258" t="e">
        <f>+IF(AND(AK9&gt;=2013,AK9&lt;=2015),+AK11+AK33+AK35-(AK22-AK25),+AK11+AK33+AK35-AK22)</f>
        <v>#REF!</v>
      </c>
      <c r="AL52" s="256" t="e">
        <f>+IF(AND(AL9&gt;=2013,AL9&lt;=2015),+AL11+AL33+AL35-(AL22-AL25),+AL11+AL33+AL35-AL22)</f>
        <v>#REF!</v>
      </c>
    </row>
    <row r="53" spans="1:38" s="241" customFormat="1" ht="15" outlineLevel="1">
      <c r="A53" s="1" t="s">
        <v>8</v>
      </c>
      <c r="B53" s="233">
        <v>9</v>
      </c>
      <c r="C53" s="234"/>
      <c r="D53" s="235" t="s">
        <v>115</v>
      </c>
      <c r="E53" s="266" t="s">
        <v>8</v>
      </c>
      <c r="F53" s="267" t="s">
        <v>8</v>
      </c>
      <c r="G53" s="267" t="s">
        <v>8</v>
      </c>
      <c r="H53" s="268" t="s">
        <v>8</v>
      </c>
      <c r="I53" s="269" t="s">
        <v>8</v>
      </c>
      <c r="J53" s="270" t="s">
        <v>8</v>
      </c>
      <c r="K53" s="270" t="s">
        <v>8</v>
      </c>
      <c r="L53" s="270" t="s">
        <v>8</v>
      </c>
      <c r="M53" s="270" t="s">
        <v>8</v>
      </c>
      <c r="N53" s="270" t="s">
        <v>8</v>
      </c>
      <c r="O53" s="270" t="s">
        <v>8</v>
      </c>
      <c r="P53" s="270" t="s">
        <v>8</v>
      </c>
      <c r="Q53" s="270" t="s">
        <v>8</v>
      </c>
      <c r="R53" s="270" t="s">
        <v>8</v>
      </c>
      <c r="S53" s="270" t="s">
        <v>8</v>
      </c>
      <c r="T53" s="270" t="s">
        <v>8</v>
      </c>
      <c r="U53" s="270" t="s">
        <v>8</v>
      </c>
      <c r="V53" s="270" t="s">
        <v>8</v>
      </c>
      <c r="W53" s="270" t="s">
        <v>8</v>
      </c>
      <c r="X53" s="270" t="s">
        <v>8</v>
      </c>
      <c r="Y53" s="270" t="s">
        <v>8</v>
      </c>
      <c r="Z53" s="270" t="s">
        <v>8</v>
      </c>
      <c r="AA53" s="270" t="s">
        <v>8</v>
      </c>
      <c r="AB53" s="270" t="s">
        <v>8</v>
      </c>
      <c r="AC53" s="270" t="s">
        <v>8</v>
      </c>
      <c r="AD53" s="270" t="s">
        <v>8</v>
      </c>
      <c r="AE53" s="270" t="s">
        <v>8</v>
      </c>
      <c r="AF53" s="270" t="s">
        <v>8</v>
      </c>
      <c r="AG53" s="270" t="s">
        <v>8</v>
      </c>
      <c r="AH53" s="270" t="s">
        <v>8</v>
      </c>
      <c r="AI53" s="270" t="s">
        <v>8</v>
      </c>
      <c r="AJ53" s="270" t="s">
        <v>8</v>
      </c>
      <c r="AK53" s="270" t="s">
        <v>8</v>
      </c>
      <c r="AL53" s="271" t="s">
        <v>8</v>
      </c>
    </row>
    <row r="54" spans="1:38" ht="36" outlineLevel="2">
      <c r="A54" s="1" t="s">
        <v>8</v>
      </c>
      <c r="B54" s="242" t="s">
        <v>116</v>
      </c>
      <c r="C54" s="243" t="s">
        <v>433</v>
      </c>
      <c r="D54" s="244" t="s">
        <v>118</v>
      </c>
      <c r="E54" s="272">
        <f>'Zał.1_WPF_bazowy'!E47</f>
        <v>0.0694</v>
      </c>
      <c r="F54" s="273">
        <f>'Zał.1_WPF_bazowy'!F47</f>
        <v>0.0668</v>
      </c>
      <c r="G54" s="273">
        <f>'Zał.1_WPF_bazowy'!G47</f>
        <v>0.0388</v>
      </c>
      <c r="H54" s="274">
        <f>+IF(H10&lt;&gt;0,ROUND((H23+H27+H42)/H10,$K$7+2),"-")</f>
        <v>0.0365</v>
      </c>
      <c r="I54" s="275">
        <f>+IF(I10&lt;&gt;0,ROUND((I23+I27+I42)/I10,$K$7+2),"-")</f>
        <v>0.0424</v>
      </c>
      <c r="J54" s="276">
        <f>+IF(J10&lt;&gt;0,ROUND((J23+J27+J42)/J10,$K$7+2),"-")</f>
        <v>0.0532</v>
      </c>
      <c r="K54" s="276">
        <f>+IF(K10&lt;&gt;0,ROUND((K23+K27+K42)/K10,$K$7+2),"-")</f>
        <v>0.0581</v>
      </c>
      <c r="L54" s="276">
        <f>+IF(L10&lt;&gt;0,ROUND((L23+L27+L42)/L10,$K$7+2),"-")</f>
        <v>0.0604</v>
      </c>
      <c r="M54" s="276">
        <f>+IF(M10&lt;&gt;0,ROUND((M23+M27+M42)/M10,$K$7+2),"-")</f>
        <v>0.0661</v>
      </c>
      <c r="N54" s="276">
        <f>+IF(N10&lt;&gt;0,ROUND((N23+N27+N42)/N10,$K$7+2),"-")</f>
        <v>0.0626</v>
      </c>
      <c r="O54" s="276">
        <f>+IF(O10&lt;&gt;0,ROUND((O23+O27+O42)/O10,$K$7+2),"-")</f>
        <v>0.0601</v>
      </c>
      <c r="P54" s="276">
        <f>+IF(P10&lt;&gt;0,ROUND((P23+P27+P42)/P10,$K$7+2),"-")</f>
        <v>0.0608</v>
      </c>
      <c r="Q54" s="276">
        <f>+IF(Q10&lt;&gt;0,ROUND((Q23+Q27+Q42)/Q10,$K$7+2),"-")</f>
        <v>0.0496</v>
      </c>
      <c r="R54" s="276" t="e">
        <f>+IF(R10&lt;&gt;0,ROUND((R23+R27+R42)/R10,$K$7+2),"-")</f>
        <v>#REF!</v>
      </c>
      <c r="S54" s="276" t="e">
        <f>+IF(S10&lt;&gt;0,ROUND((S23+S27+S42)/S10,$K$7+2),"-")</f>
        <v>#REF!</v>
      </c>
      <c r="T54" s="276" t="e">
        <f>+IF(T10&lt;&gt;0,ROUND((T23+T27+T42)/T10,$K$7+2),"-")</f>
        <v>#REF!</v>
      </c>
      <c r="U54" s="276" t="e">
        <f>+IF(U10&lt;&gt;0,ROUND((U23+U27+U42)/U10,$K$7+2),"-")</f>
        <v>#REF!</v>
      </c>
      <c r="V54" s="276" t="e">
        <f>+IF(V10&lt;&gt;0,ROUND((V23+V27+V42)/V10,$K$7+2),"-")</f>
        <v>#REF!</v>
      </c>
      <c r="W54" s="276" t="e">
        <f>+IF(W10&lt;&gt;0,ROUND((W23+W27+W42)/W10,$K$7+2),"-")</f>
        <v>#REF!</v>
      </c>
      <c r="X54" s="276" t="e">
        <f>+IF(X10&lt;&gt;0,ROUND((X23+X27+X42)/X10,$K$7+2),"-")</f>
        <v>#REF!</v>
      </c>
      <c r="Y54" s="276" t="e">
        <f>+IF(Y10&lt;&gt;0,ROUND((Y23+Y27+Y42)/Y10,$K$7+2),"-")</f>
        <v>#REF!</v>
      </c>
      <c r="Z54" s="276" t="e">
        <f>+IF(Z10&lt;&gt;0,ROUND((Z23+Z27+Z42)/Z10,$K$7+2),"-")</f>
        <v>#REF!</v>
      </c>
      <c r="AA54" s="276" t="e">
        <f>+IF(AA10&lt;&gt;0,ROUND((AA23+AA27+AA42)/AA10,$K$7+2),"-")</f>
        <v>#REF!</v>
      </c>
      <c r="AB54" s="276" t="e">
        <f>+IF(AB10&lt;&gt;0,ROUND((AB23+AB27+AB42)/AB10,$K$7+2),"-")</f>
        <v>#REF!</v>
      </c>
      <c r="AC54" s="276" t="e">
        <f>+IF(AC10&lt;&gt;0,ROUND((AC23+AC27+AC42)/AC10,$K$7+2),"-")</f>
        <v>#REF!</v>
      </c>
      <c r="AD54" s="276" t="e">
        <f>+IF(AD10&lt;&gt;0,ROUND((AD23+AD27+AD42)/AD10,$K$7+2),"-")</f>
        <v>#REF!</v>
      </c>
      <c r="AE54" s="276" t="e">
        <f>+IF(AE10&lt;&gt;0,ROUND((AE23+AE27+AE42)/AE10,$K$7+2),"-")</f>
        <v>#REF!</v>
      </c>
      <c r="AF54" s="276" t="e">
        <f>+IF(AF10&lt;&gt;0,ROUND((AF23+AF27+AF42)/AF10,$K$7+2),"-")</f>
        <v>#REF!</v>
      </c>
      <c r="AG54" s="276" t="e">
        <f>+IF(AG10&lt;&gt;0,ROUND((AG23+AG27+AG42)/AG10,$K$7+2),"-")</f>
        <v>#REF!</v>
      </c>
      <c r="AH54" s="276" t="e">
        <f>+IF(AH10&lt;&gt;0,ROUND((AH23+AH27+AH42)/AH10,$K$7+2),"-")</f>
        <v>#REF!</v>
      </c>
      <c r="AI54" s="276" t="e">
        <f>+IF(AI10&lt;&gt;0,ROUND((AI23+AI27+AI42)/AI10,$K$7+2),"-")</f>
        <v>#REF!</v>
      </c>
      <c r="AJ54" s="276" t="e">
        <f>+IF(AJ10&lt;&gt;0,ROUND((AJ23+AJ27+AJ42)/AJ10,$K$7+2),"-")</f>
        <v>#REF!</v>
      </c>
      <c r="AK54" s="276" t="e">
        <f>+IF(AK10&lt;&gt;0,ROUND((AK23+AK27+AK42)/AK10,$K$7+2),"-")</f>
        <v>#REF!</v>
      </c>
      <c r="AL54" s="274" t="e">
        <f>+IF(AL10&lt;&gt;0,ROUND((AL23+AL27+AL42)/AL10,$K$7+2),"-")</f>
        <v>#REF!</v>
      </c>
    </row>
    <row r="55" spans="1:38" ht="36" outlineLevel="2">
      <c r="A55" s="1" t="s">
        <v>8</v>
      </c>
      <c r="B55" s="242" t="s">
        <v>119</v>
      </c>
      <c r="C55" s="277" t="s">
        <v>434</v>
      </c>
      <c r="D55" s="244" t="s">
        <v>121</v>
      </c>
      <c r="E55" s="272">
        <f>'Zał.1_WPF_bazowy'!E48</f>
        <v>0.0694</v>
      </c>
      <c r="F55" s="273">
        <f>'Zał.1_WPF_bazowy'!F48</f>
        <v>0.0668</v>
      </c>
      <c r="G55" s="273">
        <f>'Zał.1_WPF_bazowy'!G48</f>
        <v>0.0388</v>
      </c>
      <c r="H55" s="274">
        <f>+IF(H10&lt;&gt;0,ROUND((H23-H24+H27-H28-H29+H42-H43)/(H10-H113),$K$7+2),"-")</f>
        <v>0.0365</v>
      </c>
      <c r="I55" s="275">
        <f>+IF(I10&lt;&gt;0,ROUND((I23-I24+I27-I28-I29+I42-I43)/(I10-I113),$K$7+2),"-")</f>
        <v>0.0424</v>
      </c>
      <c r="J55" s="276">
        <f>+IF(J10&lt;&gt;0,ROUND((J23-J24+J27-J28-J29+J42-J43)/(J10-J113),$K$7+2),"-")</f>
        <v>0.0532</v>
      </c>
      <c r="K55" s="276">
        <f>+IF(K10&lt;&gt;0,ROUND((K23-K24+K27-K28-K29+K42-K43)/(K10-K113),$K$7+2),"-")</f>
        <v>0.0581</v>
      </c>
      <c r="L55" s="276">
        <f>+IF(L10&lt;&gt;0,ROUND((L23-L24+L27-L28-L29+L42-L43)/(L10-L113),$K$7+2),"-")</f>
        <v>0.0604</v>
      </c>
      <c r="M55" s="276">
        <f>+IF(M10&lt;&gt;0,ROUND((M23-M24+M27-M28-M29+M42-M43)/(M10-M113),$K$7+2),"-")</f>
        <v>0.0661</v>
      </c>
      <c r="N55" s="276">
        <f>+IF(N10&lt;&gt;0,ROUND((N23-N24+N27-N28-N29+N42-N43)/(N10-N113),$K$7+2),"-")</f>
        <v>0.0626</v>
      </c>
      <c r="O55" s="276">
        <f>+IF(O10&lt;&gt;0,ROUND((O23-O24+O27-O28-O29+O42-O43)/(O10-O113),$K$7+2),"-")</f>
        <v>0.0601</v>
      </c>
      <c r="P55" s="276">
        <f>+IF(P10&lt;&gt;0,ROUND((P23-P24+P27-P28-P29+P42-P43)/(P10-P113),$K$7+2),"-")</f>
        <v>0.0608</v>
      </c>
      <c r="Q55" s="276">
        <f>+IF(Q10&lt;&gt;0,ROUND((Q23-Q24+Q27-Q28-Q29+Q42-Q43)/(Q10-Q113),$K$7+2),"-")</f>
        <v>0.0496</v>
      </c>
      <c r="R55" s="276" t="e">
        <f>+IF(R10&lt;&gt;0,ROUND((R23-R24+R27-R28-R29+R42-R43)/(R10-R113),$K$7+2),"-")</f>
        <v>#REF!</v>
      </c>
      <c r="S55" s="276" t="e">
        <f>+IF(S10&lt;&gt;0,ROUND((S23-S24+S27-S28-S29+S42-S43)/(S10-S113),$K$7+2),"-")</f>
        <v>#REF!</v>
      </c>
      <c r="T55" s="276" t="e">
        <f>+IF(T10&lt;&gt;0,ROUND((T23-T24+T27-T28-T29+T42-T43)/(T10-T113),$K$7+2),"-")</f>
        <v>#REF!</v>
      </c>
      <c r="U55" s="276" t="e">
        <f>+IF(U10&lt;&gt;0,ROUND((U23-U24+U27-U28-U29+U42-U43)/(U10-U113),$K$7+2),"-")</f>
        <v>#REF!</v>
      </c>
      <c r="V55" s="276" t="e">
        <f>+IF(V10&lt;&gt;0,ROUND((V23-V24+V27-V28-V29+V42-V43)/(V10-V113),$K$7+2),"-")</f>
        <v>#REF!</v>
      </c>
      <c r="W55" s="276" t="e">
        <f>+IF(W10&lt;&gt;0,ROUND((W23-W24+W27-W28-W29+W42-W43)/(W10-W113),$K$7+2),"-")</f>
        <v>#REF!</v>
      </c>
      <c r="X55" s="276" t="e">
        <f>+IF(X10&lt;&gt;0,ROUND((X23-X24+X27-X28-X29+X42-X43)/(X10-X113),$K$7+2),"-")</f>
        <v>#REF!</v>
      </c>
      <c r="Y55" s="276" t="e">
        <f>+IF(Y10&lt;&gt;0,ROUND((Y23-Y24+Y27-Y28-Y29+Y42-Y43)/(Y10-Y113),$K$7+2),"-")</f>
        <v>#REF!</v>
      </c>
      <c r="Z55" s="276" t="e">
        <f>+IF(Z10&lt;&gt;0,ROUND((Z23-Z24+Z27-Z28-Z29+Z42-Z43)/(Z10-Z113),$K$7+2),"-")</f>
        <v>#REF!</v>
      </c>
      <c r="AA55" s="276" t="e">
        <f>+IF(AA10&lt;&gt;0,ROUND((AA23-AA24+AA27-AA28-AA29+AA42-AA43)/(AA10-AA113),$K$7+2),"-")</f>
        <v>#REF!</v>
      </c>
      <c r="AB55" s="276" t="e">
        <f>+IF(AB10&lt;&gt;0,ROUND((AB23-AB24+AB27-AB28-AB29+AB42-AB43)/(AB10-AB113),$K$7+2),"-")</f>
        <v>#REF!</v>
      </c>
      <c r="AC55" s="276" t="e">
        <f>+IF(AC10&lt;&gt;0,ROUND((AC23-AC24+AC27-AC28-AC29+AC42-AC43)/(AC10-AC113),$K$7+2),"-")</f>
        <v>#REF!</v>
      </c>
      <c r="AD55" s="276" t="e">
        <f>+IF(AD10&lt;&gt;0,ROUND((AD23-AD24+AD27-AD28-AD29+AD42-AD43)/(AD10-AD113),$K$7+2),"-")</f>
        <v>#REF!</v>
      </c>
      <c r="AE55" s="276" t="e">
        <f>+IF(AE10&lt;&gt;0,ROUND((AE23-AE24+AE27-AE28-AE29+AE42-AE43)/(AE10-AE113),$K$7+2),"-")</f>
        <v>#REF!</v>
      </c>
      <c r="AF55" s="276" t="e">
        <f>+IF(AF10&lt;&gt;0,ROUND((AF23-AF24+AF27-AF28-AF29+AF42-AF43)/(AF10-AF113),$K$7+2),"-")</f>
        <v>#REF!</v>
      </c>
      <c r="AG55" s="276" t="e">
        <f>+IF(AG10&lt;&gt;0,ROUND((AG23-AG24+AG27-AG28-AG29+AG42-AG43)/(AG10-AG113),$K$7+2),"-")</f>
        <v>#REF!</v>
      </c>
      <c r="AH55" s="276" t="e">
        <f>+IF(AH10&lt;&gt;0,ROUND((AH23-AH24+AH27-AH28-AH29+AH42-AH43)/(AH10-AH113),$K$7+2),"-")</f>
        <v>#REF!</v>
      </c>
      <c r="AI55" s="276" t="e">
        <f>+IF(AI10&lt;&gt;0,ROUND((AI23-AI24+AI27-AI28-AI29+AI42-AI43)/(AI10-AI113),$K$7+2),"-")</f>
        <v>#REF!</v>
      </c>
      <c r="AJ55" s="276" t="e">
        <f>+IF(AJ10&lt;&gt;0,ROUND((AJ23-AJ24+AJ27-AJ28-AJ29+AJ42-AJ43)/(AJ10-AJ113),$K$7+2),"-")</f>
        <v>#REF!</v>
      </c>
      <c r="AK55" s="276" t="e">
        <f>+IF(AK10&lt;&gt;0,ROUND((AK23-AK24+AK27-AK28-AK29+AK42-AK43)/(AK10-AK113),$K$7+2),"-")</f>
        <v>#REF!</v>
      </c>
      <c r="AL55" s="27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42" t="s">
        <v>122</v>
      </c>
      <c r="C56" s="243"/>
      <c r="D56" s="244" t="s">
        <v>124</v>
      </c>
      <c r="E56" s="245">
        <f>'Zał.1_WPF_bazowy'!E49</f>
        <v>0</v>
      </c>
      <c r="F56" s="246">
        <f>'Zał.1_WPF_bazowy'!F49</f>
        <v>0</v>
      </c>
      <c r="G56" s="246">
        <f>'Zał.1_WPF_bazowy'!G49</f>
        <v>0</v>
      </c>
      <c r="H56" s="247">
        <f>'Zał.1_WPF_bazowy'!H49</f>
        <v>0</v>
      </c>
      <c r="I56" s="248">
        <f>+'Zał.1_WPF_bazowy'!I49</f>
        <v>0</v>
      </c>
      <c r="J56" s="249">
        <f>+'Zał.1_WPF_bazowy'!J49</f>
        <v>0</v>
      </c>
      <c r="K56" s="249">
        <f>+'Zał.1_WPF_bazowy'!K49</f>
        <v>0</v>
      </c>
      <c r="L56" s="249">
        <f>+'Zał.1_WPF_bazowy'!L49</f>
        <v>0</v>
      </c>
      <c r="M56" s="249">
        <f>+'Zał.1_WPF_bazowy'!M49</f>
        <v>0</v>
      </c>
      <c r="N56" s="249">
        <f>+'Zał.1_WPF_bazowy'!N49</f>
        <v>0</v>
      </c>
      <c r="O56" s="249">
        <f>+'Zał.1_WPF_bazowy'!O49</f>
        <v>0</v>
      </c>
      <c r="P56" s="249">
        <f>+'Zał.1_WPF_bazowy'!P49</f>
        <v>0</v>
      </c>
      <c r="Q56" s="249">
        <f>+'Zał.1_WPF_bazowy'!Q49</f>
        <v>0</v>
      </c>
      <c r="R56" s="249" t="e">
        <f>+'Zał.1_WPF_bazowy'!#REF!</f>
        <v>#REF!</v>
      </c>
      <c r="S56" s="249" t="e">
        <f>+'Zał.1_WPF_bazowy'!#REF!</f>
        <v>#REF!</v>
      </c>
      <c r="T56" s="249" t="e">
        <f>+'Zał.1_WPF_bazowy'!#REF!</f>
        <v>#REF!</v>
      </c>
      <c r="U56" s="249" t="e">
        <f>+'Zał.1_WPF_bazowy'!#REF!</f>
        <v>#REF!</v>
      </c>
      <c r="V56" s="249" t="e">
        <f>+'Zał.1_WPF_bazowy'!#REF!</f>
        <v>#REF!</v>
      </c>
      <c r="W56" s="249" t="e">
        <f>+'Zał.1_WPF_bazowy'!#REF!</f>
        <v>#REF!</v>
      </c>
      <c r="X56" s="249" t="e">
        <f>+'Zał.1_WPF_bazowy'!#REF!</f>
        <v>#REF!</v>
      </c>
      <c r="Y56" s="249" t="e">
        <f>+'Zał.1_WPF_bazowy'!#REF!</f>
        <v>#REF!</v>
      </c>
      <c r="Z56" s="249" t="e">
        <f>+'Zał.1_WPF_bazowy'!#REF!</f>
        <v>#REF!</v>
      </c>
      <c r="AA56" s="249" t="e">
        <f>+'Zał.1_WPF_bazowy'!#REF!</f>
        <v>#REF!</v>
      </c>
      <c r="AB56" s="249" t="e">
        <f>+'Zał.1_WPF_bazowy'!#REF!</f>
        <v>#REF!</v>
      </c>
      <c r="AC56" s="249" t="e">
        <f>+'Zał.1_WPF_bazowy'!#REF!</f>
        <v>#REF!</v>
      </c>
      <c r="AD56" s="249" t="e">
        <f>+'Zał.1_WPF_bazowy'!#REF!</f>
        <v>#REF!</v>
      </c>
      <c r="AE56" s="249" t="e">
        <f>+'Zał.1_WPF_bazowy'!#REF!</f>
        <v>#REF!</v>
      </c>
      <c r="AF56" s="249" t="e">
        <f>+'Zał.1_WPF_bazowy'!#REF!</f>
        <v>#REF!</v>
      </c>
      <c r="AG56" s="249" t="e">
        <f>+'Zał.1_WPF_bazowy'!#REF!</f>
        <v>#REF!</v>
      </c>
      <c r="AH56" s="249" t="e">
        <f>+'Zał.1_WPF_bazowy'!#REF!</f>
        <v>#REF!</v>
      </c>
      <c r="AI56" s="249" t="e">
        <f>+'Zał.1_WPF_bazowy'!#REF!</f>
        <v>#REF!</v>
      </c>
      <c r="AJ56" s="249" t="e">
        <f>+'Zał.1_WPF_bazowy'!#REF!</f>
        <v>#REF!</v>
      </c>
      <c r="AK56" s="249" t="e">
        <f>+'Zał.1_WPF_bazowy'!#REF!</f>
        <v>#REF!</v>
      </c>
      <c r="AL56" s="250" t="e">
        <f>+'Zał.1_WPF_bazowy'!#REF!</f>
        <v>#REF!</v>
      </c>
    </row>
    <row r="57" spans="1:38" ht="36" outlineLevel="2">
      <c r="A57" s="1" t="s">
        <v>8</v>
      </c>
      <c r="B57" s="242" t="s">
        <v>125</v>
      </c>
      <c r="C57" s="277" t="s">
        <v>435</v>
      </c>
      <c r="D57" s="244" t="s">
        <v>127</v>
      </c>
      <c r="E57" s="272">
        <f>'Zał.1_WPF_bazowy'!E50</f>
        <v>0.0694</v>
      </c>
      <c r="F57" s="273">
        <f>'Zał.1_WPF_bazowy'!F50</f>
        <v>0.0668</v>
      </c>
      <c r="G57" s="273">
        <f>'Zał.1_WPF_bazowy'!G50</f>
        <v>0.0388</v>
      </c>
      <c r="H57" s="274">
        <f>+IF(H10&lt;&gt;0,ROUND((H23-H24+H27-H28-H29+H42-H43+H56)/(H10-H113),$K$7+2),"-")</f>
        <v>0.0365</v>
      </c>
      <c r="I57" s="275">
        <f>+IF(I10&lt;&gt;0,ROUND((I23-I24+I27-I28-I29+I42-I43+I56)/(I10-I113),$K$7+2),"-")</f>
        <v>0.0424</v>
      </c>
      <c r="J57" s="276">
        <f>+IF(J10&lt;&gt;0,ROUND((J23-J24+J27-J28-J29+J42-J43+J56)/(J10-J113),$K$7+2),"-")</f>
        <v>0.0532</v>
      </c>
      <c r="K57" s="276">
        <f>+IF(K10&lt;&gt;0,ROUND((K23-K24+K27-K28-K29+K42-K43+K56)/(K10-K113),$K$7+2),"-")</f>
        <v>0.0581</v>
      </c>
      <c r="L57" s="276">
        <f>+IF(L10&lt;&gt;0,ROUND((L23-L24+L27-L28-L29+L42-L43+L56)/(L10-L113),$K$7+2),"-")</f>
        <v>0.0604</v>
      </c>
      <c r="M57" s="276">
        <f>+IF(M10&lt;&gt;0,ROUND((M23-M24+M27-M28-M29+M42-M43+M56)/(M10-M113),$K$7+2),"-")</f>
        <v>0.0661</v>
      </c>
      <c r="N57" s="276">
        <f>+IF(N10&lt;&gt;0,ROUND((N23-N24+N27-N28-N29+N42-N43+N56)/(N10-N113),$K$7+2),"-")</f>
        <v>0.0626</v>
      </c>
      <c r="O57" s="276">
        <f>+IF(O10&lt;&gt;0,ROUND((O23-O24+O27-O28-O29+O42-O43+O56)/(O10-O113),$K$7+2),"-")</f>
        <v>0.0601</v>
      </c>
      <c r="P57" s="276">
        <f>+IF(P10&lt;&gt;0,ROUND((P23-P24+P27-P28-P29+P42-P43+P56)/(P10-P113),$K$7+2),"-")</f>
        <v>0.0608</v>
      </c>
      <c r="Q57" s="276">
        <f>+IF(Q10&lt;&gt;0,ROUND((Q23-Q24+Q27-Q28-Q29+Q42-Q43+Q56)/(Q10-Q113),$K$7+2),"-")</f>
        <v>0.0496</v>
      </c>
      <c r="R57" s="276" t="e">
        <f>+IF(R10&lt;&gt;0,ROUND((R23-R24+R27-R28-R29+R42-R43+R56)/(R10-R113),$K$7+2),"-")</f>
        <v>#REF!</v>
      </c>
      <c r="S57" s="276" t="e">
        <f>+IF(S10&lt;&gt;0,ROUND((S23-S24+S27-S28-S29+S42-S43+S56)/(S10-S113),$K$7+2),"-")</f>
        <v>#REF!</v>
      </c>
      <c r="T57" s="276" t="e">
        <f>+IF(T10&lt;&gt;0,ROUND((T23-T24+T27-T28-T29+T42-T43+T56)/(T10-T113),$K$7+2),"-")</f>
        <v>#REF!</v>
      </c>
      <c r="U57" s="276" t="e">
        <f>+IF(U10&lt;&gt;0,ROUND((U23-U24+U27-U28-U29+U42-U43+U56)/(U10-U113),$K$7+2),"-")</f>
        <v>#REF!</v>
      </c>
      <c r="V57" s="276" t="e">
        <f>+IF(V10&lt;&gt;0,ROUND((V23-V24+V27-V28-V29+V42-V43+V56)/(V10-V113),$K$7+2),"-")</f>
        <v>#REF!</v>
      </c>
      <c r="W57" s="276" t="e">
        <f>+IF(W10&lt;&gt;0,ROUND((W23-W24+W27-W28-W29+W42-W43+W56)/(W10-W113),$K$7+2),"-")</f>
        <v>#REF!</v>
      </c>
      <c r="X57" s="276" t="e">
        <f>+IF(X10&lt;&gt;0,ROUND((X23-X24+X27-X28-X29+X42-X43+X56)/(X10-X113),$K$7+2),"-")</f>
        <v>#REF!</v>
      </c>
      <c r="Y57" s="276" t="e">
        <f>+IF(Y10&lt;&gt;0,ROUND((Y23-Y24+Y27-Y28-Y29+Y42-Y43+Y56)/(Y10-Y113),$K$7+2),"-")</f>
        <v>#REF!</v>
      </c>
      <c r="Z57" s="276" t="e">
        <f>+IF(Z10&lt;&gt;0,ROUND((Z23-Z24+Z27-Z28-Z29+Z42-Z43+Z56)/(Z10-Z113),$K$7+2),"-")</f>
        <v>#REF!</v>
      </c>
      <c r="AA57" s="276" t="e">
        <f>+IF(AA10&lt;&gt;0,ROUND((AA23-AA24+AA27-AA28-AA29+AA42-AA43+AA56)/(AA10-AA113),$K$7+2),"-")</f>
        <v>#REF!</v>
      </c>
      <c r="AB57" s="276" t="e">
        <f>+IF(AB10&lt;&gt;0,ROUND((AB23-AB24+AB27-AB28-AB29+AB42-AB43+AB56)/(AB10-AB113),$K$7+2),"-")</f>
        <v>#REF!</v>
      </c>
      <c r="AC57" s="276" t="e">
        <f>+IF(AC10&lt;&gt;0,ROUND((AC23-AC24+AC27-AC28-AC29+AC42-AC43+AC56)/(AC10-AC113),$K$7+2),"-")</f>
        <v>#REF!</v>
      </c>
      <c r="AD57" s="276" t="e">
        <f>+IF(AD10&lt;&gt;0,ROUND((AD23-AD24+AD27-AD28-AD29+AD42-AD43+AD56)/(AD10-AD113),$K$7+2),"-")</f>
        <v>#REF!</v>
      </c>
      <c r="AE57" s="276" t="e">
        <f>+IF(AE10&lt;&gt;0,ROUND((AE23-AE24+AE27-AE28-AE29+AE42-AE43+AE56)/(AE10-AE113),$K$7+2),"-")</f>
        <v>#REF!</v>
      </c>
      <c r="AF57" s="276" t="e">
        <f>+IF(AF10&lt;&gt;0,ROUND((AF23-AF24+AF27-AF28-AF29+AF42-AF43+AF56)/(AF10-AF113),$K$7+2),"-")</f>
        <v>#REF!</v>
      </c>
      <c r="AG57" s="276" t="e">
        <f>+IF(AG10&lt;&gt;0,ROUND((AG23-AG24+AG27-AG28-AG29+AG42-AG43+AG56)/(AG10-AG113),$K$7+2),"-")</f>
        <v>#REF!</v>
      </c>
      <c r="AH57" s="276" t="e">
        <f>+IF(AH10&lt;&gt;0,ROUND((AH23-AH24+AH27-AH28-AH29+AH42-AH43+AH56)/(AH10-AH113),$K$7+2),"-")</f>
        <v>#REF!</v>
      </c>
      <c r="AI57" s="276" t="e">
        <f>+IF(AI10&lt;&gt;0,ROUND((AI23-AI24+AI27-AI28-AI29+AI42-AI43+AI56)/(AI10-AI113),$K$7+2),"-")</f>
        <v>#REF!</v>
      </c>
      <c r="AJ57" s="276" t="e">
        <f>+IF(AJ10&lt;&gt;0,ROUND((AJ23-AJ24+AJ27-AJ28-AJ29+AJ42-AJ43+AJ56)/(AJ10-AJ113),$K$7+2),"-")</f>
        <v>#REF!</v>
      </c>
      <c r="AK57" s="276" t="e">
        <f>+IF(AK10&lt;&gt;0,ROUND((AK23-AK24+AK27-AK28-AK29+AK42-AK43+AK56)/(AK10-AK113),$K$7+2),"-")</f>
        <v>#REF!</v>
      </c>
      <c r="AL57" s="27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278" t="s">
        <v>128</v>
      </c>
      <c r="C58" s="279" t="s">
        <v>436</v>
      </c>
      <c r="D58" s="280" t="s">
        <v>130</v>
      </c>
      <c r="E58" s="281">
        <f>+ROUND(IF(AND(E9&gt;=2013,E9&lt;=2018),IF(E10&lt;&gt;0,(E11-E113+E19-E22+E25+E114)/(E10-E113),0),IF(E10&lt;&gt;0,(E11-E113+E19-E22+E114)/(E10-E113),0)),$K$7+2)</f>
        <v>0.063</v>
      </c>
      <c r="F58" s="276">
        <f>+ROUND(IF(AND(F9&gt;=2013,F9&lt;=2018),IF(F10&lt;&gt;0,(F11-F113+F19-F22+F25+F114)/(F10-F113),0),IF(F10&lt;&gt;0,(F11-F113+F19-F22+F114)/(F10-F113),0)),$K$7+2)</f>
        <v>0.079</v>
      </c>
      <c r="G58" s="276">
        <f>+ROUND(IF(AND(G9&gt;=2013,G9&lt;=2018),IF(G10&lt;&gt;0,(G11-G113+G19-G22+G25+G114)/(G10-G113),0),IF(G10&lt;&gt;0,(G11-G113+G19-G22+G114)/(G10-G113),0)),$K$7+2)</f>
        <v>0.0493</v>
      </c>
      <c r="H58" s="274">
        <f>+ROUND(IF(AND(H9&gt;=2013,H9&lt;=2018),IF(H10&lt;&gt;0,(H11-H113+H19-H22+H25+H114)/(H10-H113),0),IF(H10&lt;&gt;0,(H11-H113+H19-H22+H114)/(H10-H113),0)),$K$7+2)</f>
        <v>0.0721</v>
      </c>
      <c r="I58" s="275">
        <f>+ROUND(IF(AND(I9&gt;=2013,I9&lt;=2018),IF(I10&lt;&gt;0,(I11-I113+I19-I22+I25+I114)/(I10-I113),0),IF(I10&lt;&gt;0,(I11-I113+I19-I22+I114)/(I10-I113),0)),$K$7+2)</f>
        <v>0.0308</v>
      </c>
      <c r="J58" s="276">
        <f>+ROUND(IF(AND(J9&gt;=2013,J9&lt;=2018),IF(J10&lt;&gt;0,(J11-J113+J19-J22+J25+J114)/(J10-J113),0),IF(J10&lt;&gt;0,(J11-J113+J19-J22+J114)/(J10-J113),0)),$K$7+2)</f>
        <v>0.0762</v>
      </c>
      <c r="K58" s="276">
        <f>+ROUND(IF(AND(K9&gt;=2013,K9&lt;=2018),IF(K10&lt;&gt;0,(K11-K113+K19-K22+K25+K114)/(K10-K113),0),IF(K10&lt;&gt;0,(K11-K113+K19-K22+K114)/(K10-K113),0)),$K$7+2)</f>
        <v>0.0872</v>
      </c>
      <c r="L58" s="276">
        <f>+ROUND(IF(AND(L9&gt;=2013,L9&lt;=2018),IF(L10&lt;&gt;0,(L11-L113+L19-L22+L25+L114)/(L10-L113),0),IF(L10&lt;&gt;0,(L11-L113+L19-L22+L114)/(L10-L113),0)),$K$7+2)</f>
        <v>0.0975</v>
      </c>
      <c r="M58" s="276">
        <f>+ROUND(IF(AND(M9&gt;=2013,M9&lt;=2018),IF(M10&lt;&gt;0,(M11-M113+M19-M22+M25+M114)/(M10-M113),0),IF(M10&lt;&gt;0,(M11-M113+M19-M22+M114)/(M10-M113),0)),$K$7+2)</f>
        <v>0.1073</v>
      </c>
      <c r="N58" s="276">
        <f>+ROUND(IF(AND(N9&gt;=2013,N9&lt;=2018),IF(N10&lt;&gt;0,(N11-N113+N19-N22+N25+N114)/(N10-N113),0),IF(N10&lt;&gt;0,(N11-N113+N19-N22+N114)/(N10-N113),0)),$K$7+2)</f>
        <v>0.1167</v>
      </c>
      <c r="O58" s="276">
        <f>+ROUND(IF(AND(O9&gt;=2013,O9&lt;=2018),IF(O10&lt;&gt;0,(O11-O113+O19-O22+O25+O114)/(O10-O113),0),IF(O10&lt;&gt;0,(O11-O113+O19-O22+O114)/(O10-O113),0)),$K$7+2)</f>
        <v>0.1256</v>
      </c>
      <c r="P58" s="276">
        <f>+ROUND(IF(AND(P9&gt;=2013,P9&lt;=2018),IF(P10&lt;&gt;0,(P11-P113+P19-P22+P25+P114)/(P10-P113),0),IF(P10&lt;&gt;0,(P11-P113+P19-P22+P114)/(P10-P113),0)),$K$7+2)</f>
        <v>0.1341</v>
      </c>
      <c r="Q58" s="276">
        <f>+ROUND(IF(AND(Q9&gt;=2013,Q9&lt;=2018),IF(Q10&lt;&gt;0,(Q11-Q113+Q19-Q22+Q25+Q114)/(Q10-Q113),0),IF(Q10&lt;&gt;0,(Q11-Q113+Q19-Q22+Q114)/(Q10-Q113),0)),$K$7+2)</f>
        <v>0.1422</v>
      </c>
      <c r="R58" s="276" t="e">
        <f>+ROUND(IF(AND(R9&gt;=2013,R9&lt;=2018),IF(R10&lt;&gt;0,(R11-R113+R19-R22+R25+R114)/(R10-R113),0),IF(R10&lt;&gt;0,(R11-R113+R19-R22+R114)/(R10-R113),0)),$K$7+2)</f>
        <v>#REF!</v>
      </c>
      <c r="S58" s="276" t="e">
        <f>+ROUND(IF(AND(S9&gt;=2013,S9&lt;=2018),IF(S10&lt;&gt;0,(S11-S113+S19-S22+S25+S114)/(S10-S113),0),IF(S10&lt;&gt;0,(S11-S113+S19-S22+S114)/(S10-S113),0)),$K$7+2)</f>
        <v>#REF!</v>
      </c>
      <c r="T58" s="276" t="e">
        <f>+ROUND(IF(AND(T9&gt;=2013,T9&lt;=2018),IF(T10&lt;&gt;0,(T11-T113+T19-T22+T25+T114)/(T10-T113),0),IF(T10&lt;&gt;0,(T11-T113+T19-T22+T114)/(T10-T113),0)),$K$7+2)</f>
        <v>#REF!</v>
      </c>
      <c r="U58" s="276" t="e">
        <f>+ROUND(IF(AND(U9&gt;=2013,U9&lt;=2018),IF(U10&lt;&gt;0,(U11-U113+U19-U22+U25+U114)/(U10-U113),0),IF(U10&lt;&gt;0,(U11-U113+U19-U22+U114)/(U10-U113),0)),$K$7+2)</f>
        <v>#REF!</v>
      </c>
      <c r="V58" s="276" t="e">
        <f>+ROUND(IF(AND(V9&gt;=2013,V9&lt;=2018),IF(V10&lt;&gt;0,(V11-V113+V19-V22+V25+V114)/(V10-V113),0),IF(V10&lt;&gt;0,(V11-V113+V19-V22+V114)/(V10-V113),0)),$K$7+2)</f>
        <v>#REF!</v>
      </c>
      <c r="W58" s="276" t="e">
        <f>+ROUND(IF(AND(W9&gt;=2013,W9&lt;=2018),IF(W10&lt;&gt;0,(W11-W113+W19-W22+W25+W114)/(W10-W113),0),IF(W10&lt;&gt;0,(W11-W113+W19-W22+W114)/(W10-W113),0)),$K$7+2)</f>
        <v>#REF!</v>
      </c>
      <c r="X58" s="276" t="e">
        <f>+ROUND(IF(AND(X9&gt;=2013,X9&lt;=2018),IF(X10&lt;&gt;0,(X11-X113+X19-X22+X25+X114)/(X10-X113),0),IF(X10&lt;&gt;0,(X11-X113+X19-X22+X114)/(X10-X113),0)),$K$7+2)</f>
        <v>#REF!</v>
      </c>
      <c r="Y58" s="276" t="e">
        <f>+ROUND(IF(AND(Y9&gt;=2013,Y9&lt;=2018),IF(Y10&lt;&gt;0,(Y11-Y113+Y19-Y22+Y25+Y114)/(Y10-Y113),0),IF(Y10&lt;&gt;0,(Y11-Y113+Y19-Y22+Y114)/(Y10-Y113),0)),$K$7+2)</f>
        <v>#REF!</v>
      </c>
      <c r="Z58" s="276" t="e">
        <f>+ROUND(IF(AND(Z9&gt;=2013,Z9&lt;=2018),IF(Z10&lt;&gt;0,(Z11-Z113+Z19-Z22+Z25+Z114)/(Z10-Z113),0),IF(Z10&lt;&gt;0,(Z11-Z113+Z19-Z22+Z114)/(Z10-Z113),0)),$K$7+2)</f>
        <v>#REF!</v>
      </c>
      <c r="AA58" s="276" t="e">
        <f>+ROUND(IF(AND(AA9&gt;=2013,AA9&lt;=2018),IF(AA10&lt;&gt;0,(AA11-AA113+AA19-AA22+AA25+AA114)/(AA10-AA113),0),IF(AA10&lt;&gt;0,(AA11-AA113+AA19-AA22+AA114)/(AA10-AA113),0)),$K$7+2)</f>
        <v>#REF!</v>
      </c>
      <c r="AB58" s="276" t="e">
        <f>+ROUND(IF(AND(AB9&gt;=2013,AB9&lt;=2018),IF(AB10&lt;&gt;0,(AB11-AB113+AB19-AB22+AB25+AB114)/(AB10-AB113),0),IF(AB10&lt;&gt;0,(AB11-AB113+AB19-AB22+AB114)/(AB10-AB113),0)),$K$7+2)</f>
        <v>#REF!</v>
      </c>
      <c r="AC58" s="276" t="e">
        <f>+ROUND(IF(AND(AC9&gt;=2013,AC9&lt;=2018),IF(AC10&lt;&gt;0,(AC11-AC113+AC19-AC22+AC25+AC114)/(AC10-AC113),0),IF(AC10&lt;&gt;0,(AC11-AC113+AC19-AC22+AC114)/(AC10-AC113),0)),$K$7+2)</f>
        <v>#REF!</v>
      </c>
      <c r="AD58" s="276" t="e">
        <f>+ROUND(IF(AND(AD9&gt;=2013,AD9&lt;=2018),IF(AD10&lt;&gt;0,(AD11-AD113+AD19-AD22+AD25+AD114)/(AD10-AD113),0),IF(AD10&lt;&gt;0,(AD11-AD113+AD19-AD22+AD114)/(AD10-AD113),0)),$K$7+2)</f>
        <v>#REF!</v>
      </c>
      <c r="AE58" s="276" t="e">
        <f>+ROUND(IF(AND(AE9&gt;=2013,AE9&lt;=2018),IF(AE10&lt;&gt;0,(AE11-AE113+AE19-AE22+AE25+AE114)/(AE10-AE113),0),IF(AE10&lt;&gt;0,(AE11-AE113+AE19-AE22+AE114)/(AE10-AE113),0)),$K$7+2)</f>
        <v>#REF!</v>
      </c>
      <c r="AF58" s="276" t="e">
        <f>+ROUND(IF(AND(AF9&gt;=2013,AF9&lt;=2018),IF(AF10&lt;&gt;0,(AF11-AF113+AF19-AF22+AF25+AF114)/(AF10-AF113),0),IF(AF10&lt;&gt;0,(AF11-AF113+AF19-AF22+AF114)/(AF10-AF113),0)),$K$7+2)</f>
        <v>#REF!</v>
      </c>
      <c r="AG58" s="276" t="e">
        <f>+ROUND(IF(AND(AG9&gt;=2013,AG9&lt;=2018),IF(AG10&lt;&gt;0,(AG11-AG113+AG19-AG22+AG25+AG114)/(AG10-AG113),0),IF(AG10&lt;&gt;0,(AG11-AG113+AG19-AG22+AG114)/(AG10-AG113),0)),$K$7+2)</f>
        <v>#REF!</v>
      </c>
      <c r="AH58" s="276" t="e">
        <f>+ROUND(IF(AND(AH9&gt;=2013,AH9&lt;=2018),IF(AH10&lt;&gt;0,(AH11-AH113+AH19-AH22+AH25+AH114)/(AH10-AH113),0),IF(AH10&lt;&gt;0,(AH11-AH113+AH19-AH22+AH114)/(AH10-AH113),0)),$K$7+2)</f>
        <v>#REF!</v>
      </c>
      <c r="AI58" s="276" t="e">
        <f>+ROUND(IF(AND(AI9&gt;=2013,AI9&lt;=2018),IF(AI10&lt;&gt;0,(AI11-AI113+AI19-AI22+AI25+AI114)/(AI10-AI113),0),IF(AI10&lt;&gt;0,(AI11-AI113+AI19-AI22+AI114)/(AI10-AI113),0)),$K$7+2)</f>
        <v>#REF!</v>
      </c>
      <c r="AJ58" s="276" t="e">
        <f>+ROUND(IF(AND(AJ9&gt;=2013,AJ9&lt;=2018),IF(AJ10&lt;&gt;0,(AJ11-AJ113+AJ19-AJ22+AJ25+AJ114)/(AJ10-AJ113),0),IF(AJ10&lt;&gt;0,(AJ11-AJ113+AJ19-AJ22+AJ114)/(AJ10-AJ113),0)),$K$7+2)</f>
        <v>#REF!</v>
      </c>
      <c r="AK58" s="276" t="e">
        <f>+ROUND(IF(AND(AK9&gt;=2013,AK9&lt;=2018),IF(AK10&lt;&gt;0,(AK11-AK113+AK19-AK22+AK25+AK114)/(AK10-AK113),0),IF(AK10&lt;&gt;0,(AK11-AK113+AK19-AK22+AK114)/(AK10-AK113),0)),$K$7+2)</f>
        <v>#REF!</v>
      </c>
      <c r="AL58" s="27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42" t="s">
        <v>131</v>
      </c>
      <c r="C59" s="243" t="s">
        <v>437</v>
      </c>
      <c r="D59" s="244" t="s">
        <v>133</v>
      </c>
      <c r="E59" s="282">
        <f>'Zał.1_WPF_bazowy'!E52</f>
        <v>0</v>
      </c>
      <c r="F59" s="283">
        <f>'Zał.1_WPF_bazowy'!F52</f>
        <v>0</v>
      </c>
      <c r="G59" s="283">
        <f>'Zał.1_WPF_bazowy'!G52</f>
        <v>0</v>
      </c>
      <c r="H59" s="284">
        <f>'Zał.1_WPF_bazowy'!H52</f>
        <v>0</v>
      </c>
      <c r="I59" s="275">
        <f>+IF(I10&lt;&gt;0,(G58+F58+E58)/3,"-")</f>
        <v>0.06376666666666667</v>
      </c>
      <c r="J59" s="276">
        <f>+IF(J10&lt;&gt;0,(I58+G58+F58)/3,"-")</f>
        <v>0.05303333333333334</v>
      </c>
      <c r="K59" s="276">
        <f>+IF(K10&lt;&gt;0,(J58+I58+G58)/3,"-")</f>
        <v>0.0521</v>
      </c>
      <c r="L59" s="276">
        <f>+IF(L10&lt;&gt;0,(K58+J58+I58)/3,"-")</f>
        <v>0.06473333333333332</v>
      </c>
      <c r="M59" s="276">
        <f>+IF(M10&lt;&gt;0,(L58+K58+J58)/3,"-")</f>
        <v>0.08696666666666668</v>
      </c>
      <c r="N59" s="276">
        <f>+IF(N10&lt;&gt;0,(M58+L58+K58)/3,"-")</f>
        <v>0.09733333333333334</v>
      </c>
      <c r="O59" s="276">
        <f>+IF(O10&lt;&gt;0,(N58+M58+L58)/3,"-")</f>
        <v>0.10716666666666667</v>
      </c>
      <c r="P59" s="276">
        <f>+IF(P10&lt;&gt;0,(O58+N58+M58)/3,"-")</f>
        <v>0.11653333333333334</v>
      </c>
      <c r="Q59" s="276">
        <f>+IF(Q10&lt;&gt;0,(P58+O58+N58)/3,"-")</f>
        <v>0.12546666666666664</v>
      </c>
      <c r="R59" s="276" t="e">
        <f>+IF(R10&lt;&gt;0,(Q58+P58+O58)/3,"-")</f>
        <v>#REF!</v>
      </c>
      <c r="S59" s="276" t="e">
        <f>+IF(S10&lt;&gt;0,(R58+Q58+P58)/3,"-")</f>
        <v>#REF!</v>
      </c>
      <c r="T59" s="276" t="e">
        <f>+IF(T10&lt;&gt;0,(S58+R58+Q58)/3,"-")</f>
        <v>#REF!</v>
      </c>
      <c r="U59" s="276" t="e">
        <f>+IF(U10&lt;&gt;0,(T58+S58+R58)/3,"-")</f>
        <v>#REF!</v>
      </c>
      <c r="V59" s="276" t="e">
        <f>+IF(V10&lt;&gt;0,(U58+T58+S58)/3,"-")</f>
        <v>#REF!</v>
      </c>
      <c r="W59" s="276" t="e">
        <f>+IF(W10&lt;&gt;0,(V58+U58+T58)/3,"-")</f>
        <v>#REF!</v>
      </c>
      <c r="X59" s="276" t="e">
        <f>+IF(X10&lt;&gt;0,(W58+V58+U58)/3,"-")</f>
        <v>#REF!</v>
      </c>
      <c r="Y59" s="276" t="e">
        <f>+IF(Y10&lt;&gt;0,(X58+W58+V58)/3,"-")</f>
        <v>#REF!</v>
      </c>
      <c r="Z59" s="276" t="e">
        <f>+IF(Z10&lt;&gt;0,(Y58+X58+W58)/3,"-")</f>
        <v>#REF!</v>
      </c>
      <c r="AA59" s="276" t="e">
        <f>+IF(AA10&lt;&gt;0,(Z58+Y58+X58)/3,"-")</f>
        <v>#REF!</v>
      </c>
      <c r="AB59" s="276" t="e">
        <f>+IF(AB10&lt;&gt;0,(AA58+Z58+Y58)/3,"-")</f>
        <v>#REF!</v>
      </c>
      <c r="AC59" s="276" t="e">
        <f>+IF(AC10&lt;&gt;0,(AB58+AA58+Z58)/3,"-")</f>
        <v>#REF!</v>
      </c>
      <c r="AD59" s="276" t="e">
        <f>+IF(AD10&lt;&gt;0,(AC58+AB58+AA58)/3,"-")</f>
        <v>#REF!</v>
      </c>
      <c r="AE59" s="276" t="e">
        <f>+IF(AE10&lt;&gt;0,(AD58+AC58+AB58)/3,"-")</f>
        <v>#REF!</v>
      </c>
      <c r="AF59" s="276" t="e">
        <f>+IF(AF10&lt;&gt;0,(AE58+AD58+AC58)/3,"-")</f>
        <v>#REF!</v>
      </c>
      <c r="AG59" s="276" t="e">
        <f>+IF(AG10&lt;&gt;0,(AF58+AE58+AD58)/3,"-")</f>
        <v>#REF!</v>
      </c>
      <c r="AH59" s="276" t="e">
        <f>+IF(AH10&lt;&gt;0,(AG58+AF58+AE58)/3,"-")</f>
        <v>#REF!</v>
      </c>
      <c r="AI59" s="276" t="e">
        <f>+IF(AI10&lt;&gt;0,(AH58+AG58+AF58)/3,"-")</f>
        <v>#REF!</v>
      </c>
      <c r="AJ59" s="276" t="e">
        <f>+IF(AJ10&lt;&gt;0,(AI58+AH58+AG58)/3,"-")</f>
        <v>#REF!</v>
      </c>
      <c r="AK59" s="276" t="e">
        <f>+IF(AK10&lt;&gt;0,(AJ58+AI58+AH58)/3,"-")</f>
        <v>#REF!</v>
      </c>
      <c r="AL59" s="274" t="e">
        <f>+IF(AL10&lt;&gt;0,(AK58+AJ58+AI58)/3,"-")</f>
        <v>#REF!</v>
      </c>
    </row>
    <row r="60" spans="1:38" ht="36" outlineLevel="2">
      <c r="A60" s="1" t="s">
        <v>8</v>
      </c>
      <c r="B60" s="242" t="s">
        <v>134</v>
      </c>
      <c r="C60" s="243" t="s">
        <v>437</v>
      </c>
      <c r="D60" s="251" t="s">
        <v>136</v>
      </c>
      <c r="E60" s="282">
        <f>'Zał.1_WPF_bazowy'!E53</f>
        <v>0</v>
      </c>
      <c r="F60" s="283">
        <f>'Zał.1_WPF_bazowy'!F53</f>
        <v>0</v>
      </c>
      <c r="G60" s="283">
        <f>'Zał.1_WPF_bazowy'!G53</f>
        <v>0</v>
      </c>
      <c r="H60" s="284">
        <f>'Zał.1_WPF_bazowy'!H53</f>
        <v>0</v>
      </c>
      <c r="I60" s="275">
        <f>+IF(I10&lt;&gt;0,ROUND((H58+F58+E58)/3,$K$7+2),"-")</f>
        <v>0.0714</v>
      </c>
      <c r="J60" s="276">
        <f>+IF(J10&lt;&gt;0,ROUND((I58+H58+F58)/3,$K$7+2),"-")</f>
        <v>0.0606</v>
      </c>
      <c r="K60" s="276">
        <f>+IF(K10&lt;&gt;0,ROUND((J58+I58+H58)/3,$K$7+2),"-")</f>
        <v>0.0597</v>
      </c>
      <c r="L60" s="276">
        <f>+IF(L10&lt;&gt;0,ROUND((K58+J58+I58)/3,$K$7+2),"-")</f>
        <v>0.0647</v>
      </c>
      <c r="M60" s="276">
        <f>+IF(M10&lt;&gt;0,ROUND((L58+K58+J58)/3,$K$7+2),"-")</f>
        <v>0.087</v>
      </c>
      <c r="N60" s="276">
        <f>+IF(N10&lt;&gt;0,ROUND((M58+L58+K58)/3,$K$7+2),"-")</f>
        <v>0.0973</v>
      </c>
      <c r="O60" s="276">
        <f>+IF(O10&lt;&gt;0,ROUND((N58+M58+L58)/3,$K$7+2),"-")</f>
        <v>0.1072</v>
      </c>
      <c r="P60" s="276">
        <f>+IF(P10&lt;&gt;0,ROUND((O58+N58+M58)/3,$K$7+2),"-")</f>
        <v>0.1165</v>
      </c>
      <c r="Q60" s="276">
        <f>+IF(Q10&lt;&gt;0,ROUND((P58+O58+N58)/3,$K$7+2),"-")</f>
        <v>0.1255</v>
      </c>
      <c r="R60" s="276" t="e">
        <f>+IF(R10&lt;&gt;0,ROUND((Q58+P58+O58)/3,$K$7+2),"-")</f>
        <v>#REF!</v>
      </c>
      <c r="S60" s="276" t="e">
        <f>+IF(S10&lt;&gt;0,ROUND((R58+Q58+P58)/3,$K$7+2),"-")</f>
        <v>#REF!</v>
      </c>
      <c r="T60" s="276" t="e">
        <f>+IF(T10&lt;&gt;0,ROUND((S58+R58+Q58)/3,$K$7+2),"-")</f>
        <v>#REF!</v>
      </c>
      <c r="U60" s="276" t="e">
        <f>+IF(U10&lt;&gt;0,ROUND((T58+S58+R58)/3,$K$7+2),"-")</f>
        <v>#REF!</v>
      </c>
      <c r="V60" s="276" t="e">
        <f>+IF(V10&lt;&gt;0,ROUND((U58+T58+S58)/3,$K$7+2),"-")</f>
        <v>#REF!</v>
      </c>
      <c r="W60" s="276" t="e">
        <f>+IF(W10&lt;&gt;0,ROUND((V58+U58+T58)/3,$K$7+2),"-")</f>
        <v>#REF!</v>
      </c>
      <c r="X60" s="276" t="e">
        <f>+IF(X10&lt;&gt;0,ROUND((W58+V58+U58)/3,$K$7+2),"-")</f>
        <v>#REF!</v>
      </c>
      <c r="Y60" s="276" t="e">
        <f>+IF(Y10&lt;&gt;0,ROUND((X58+W58+V58)/3,$K$7+2),"-")</f>
        <v>#REF!</v>
      </c>
      <c r="Z60" s="276" t="e">
        <f>+IF(Z10&lt;&gt;0,ROUND((Y58+X58+W58)/3,$K$7+2),"-")</f>
        <v>#REF!</v>
      </c>
      <c r="AA60" s="276" t="e">
        <f>+IF(AA10&lt;&gt;0,ROUND((Z58+Y58+X58)/3,$K$7+2),"-")</f>
        <v>#REF!</v>
      </c>
      <c r="AB60" s="276" t="e">
        <f>+IF(AB10&lt;&gt;0,ROUND((AA58+Z58+Y58)/3,$K$7+2),"-")</f>
        <v>#REF!</v>
      </c>
      <c r="AC60" s="276" t="e">
        <f>+IF(AC10&lt;&gt;0,ROUND((AB58+AA58+Z58)/3,$K$7+2),"-")</f>
        <v>#REF!</v>
      </c>
      <c r="AD60" s="276" t="e">
        <f>+IF(AD10&lt;&gt;0,ROUND((AC58+AB58+AA58)/3,$K$7+2),"-")</f>
        <v>#REF!</v>
      </c>
      <c r="AE60" s="276" t="e">
        <f>+IF(AE10&lt;&gt;0,ROUND((AD58+AC58+AB58)/3,$K$7+2),"-")</f>
        <v>#REF!</v>
      </c>
      <c r="AF60" s="276" t="e">
        <f>+IF(AF10&lt;&gt;0,ROUND((AE58+AD58+AC58)/3,$K$7+2),"-")</f>
        <v>#REF!</v>
      </c>
      <c r="AG60" s="276" t="e">
        <f>+IF(AG10&lt;&gt;0,ROUND((AF58+AE58+AD58)/3,$K$7+2),"-")</f>
        <v>#REF!</v>
      </c>
      <c r="AH60" s="276" t="e">
        <f>+IF(AH10&lt;&gt;0,ROUND((AG58+AF58+AE58)/3,$K$7+2),"-")</f>
        <v>#REF!</v>
      </c>
      <c r="AI60" s="276" t="e">
        <f>+IF(AI10&lt;&gt;0,ROUND((AH58+AG58+AF58)/3,$K$7+2),"-")</f>
        <v>#REF!</v>
      </c>
      <c r="AJ60" s="276" t="e">
        <f>+IF(AJ10&lt;&gt;0,ROUND((AI58+AH58+AG58)/3,$K$7+2),"-")</f>
        <v>#REF!</v>
      </c>
      <c r="AK60" s="276" t="e">
        <f>+IF(AK10&lt;&gt;0,ROUND((AJ58+AI58+AH58)/3,$K$7+2),"-")</f>
        <v>#REF!</v>
      </c>
      <c r="AL60" s="274" t="e">
        <f>+IF(AL10&lt;&gt;0,ROUND((AK58+AJ58+AI58)/3,$K$7+2),"-")</f>
        <v>#REF!</v>
      </c>
    </row>
    <row r="61" spans="1:38" ht="36" outlineLevel="2">
      <c r="A61" s="1" t="s">
        <v>8</v>
      </c>
      <c r="B61" s="242" t="s">
        <v>137</v>
      </c>
      <c r="C61" s="243" t="s">
        <v>438</v>
      </c>
      <c r="D61" s="244" t="s">
        <v>139</v>
      </c>
      <c r="E61" s="282">
        <f>'Zał.1_WPF_bazowy'!E54</f>
        <v>0</v>
      </c>
      <c r="F61" s="283">
        <f>'Zał.1_WPF_bazowy'!F54</f>
        <v>0</v>
      </c>
      <c r="G61" s="283">
        <f>'Zał.1_WPF_bazowy'!G54</f>
        <v>0</v>
      </c>
      <c r="H61" s="284">
        <f>'Zał.1_WPF_bazowy'!H54</f>
        <v>0</v>
      </c>
      <c r="I61" s="285">
        <f>+IF(I10&lt;&gt;0,IF(I59&gt;=I57,"Spełniona","Nie spełniona"),"-")</f>
        <v>0</v>
      </c>
      <c r="J61" s="285">
        <f>+IF(J10&lt;&gt;0,IF(J59&gt;=J57,"Spełniona","Nie spełniona"),"-")</f>
        <v>0</v>
      </c>
      <c r="K61" s="285">
        <f>+IF(K10&lt;&gt;0,IF(K59&gt;=K57,"Spełniona","Nie spełniona"),"-")</f>
        <v>0</v>
      </c>
      <c r="L61" s="285">
        <f>+IF(L10&lt;&gt;0,IF(L59&gt;=L57,"Spełniona","Nie spełniona"),"-")</f>
        <v>0</v>
      </c>
      <c r="M61" s="285">
        <f>+IF(M10&lt;&gt;0,IF(M59&gt;=M57,"Spełniona","Nie spełniona"),"-")</f>
        <v>0</v>
      </c>
      <c r="N61" s="285">
        <f>+IF(N10&lt;&gt;0,IF(N59&gt;=N57,"Spełniona","Nie spełniona"),"-")</f>
        <v>0</v>
      </c>
      <c r="O61" s="285">
        <f>+IF(O10&lt;&gt;0,IF(O59&gt;=O57,"Spełniona","Nie spełniona"),"-")</f>
        <v>0</v>
      </c>
      <c r="P61" s="285">
        <f>+IF(P10&lt;&gt;0,IF(P59&gt;=P57,"Spełniona","Nie spełniona"),"-")</f>
        <v>0</v>
      </c>
      <c r="Q61" s="285">
        <f>+IF(Q10&lt;&gt;0,IF(Q59&gt;=Q57,"Spełniona","Nie spełniona"),"-")</f>
        <v>0</v>
      </c>
      <c r="R61" s="285" t="e">
        <f>+IF(R10&lt;&gt;0,IF(R59&gt;=R57,"Spełniona","Nie spełniona"),"-")</f>
        <v>#REF!</v>
      </c>
      <c r="S61" s="285" t="e">
        <f>+IF(S10&lt;&gt;0,IF(S59&gt;=S57,"Spełniona","Nie spełniona"),"-")</f>
        <v>#REF!</v>
      </c>
      <c r="T61" s="285" t="e">
        <f>+IF(T10&lt;&gt;0,IF(T59&gt;=T57,"Spełniona","Nie spełniona"),"-")</f>
        <v>#REF!</v>
      </c>
      <c r="U61" s="285" t="e">
        <f>+IF(U10&lt;&gt;0,IF(U59&gt;=U57,"Spełniona","Nie spełniona"),"-")</f>
        <v>#REF!</v>
      </c>
      <c r="V61" s="285" t="e">
        <f>+IF(V10&lt;&gt;0,IF(V59&gt;=V57,"Spełniona","Nie spełniona"),"-")</f>
        <v>#REF!</v>
      </c>
      <c r="W61" s="285" t="e">
        <f>+IF(W10&lt;&gt;0,IF(W59&gt;=W57,"Spełniona","Nie spełniona"),"-")</f>
        <v>#REF!</v>
      </c>
      <c r="X61" s="285" t="e">
        <f>+IF(X10&lt;&gt;0,IF(X59&gt;=X57,"Spełniona","Nie spełniona"),"-")</f>
        <v>#REF!</v>
      </c>
      <c r="Y61" s="285" t="e">
        <f>+IF(Y10&lt;&gt;0,IF(Y59&gt;=Y57,"Spełniona","Nie spełniona"),"-")</f>
        <v>#REF!</v>
      </c>
      <c r="Z61" s="285" t="e">
        <f>+IF(Z10&lt;&gt;0,IF(Z59&gt;=Z57,"Spełniona","Nie spełniona"),"-")</f>
        <v>#REF!</v>
      </c>
      <c r="AA61" s="285" t="e">
        <f>+IF(AA10&lt;&gt;0,IF(AA59&gt;=AA57,"Spełniona","Nie spełniona"),"-")</f>
        <v>#REF!</v>
      </c>
      <c r="AB61" s="285" t="e">
        <f>+IF(AB10&lt;&gt;0,IF(AB59&gt;=AB57,"Spełniona","Nie spełniona"),"-")</f>
        <v>#REF!</v>
      </c>
      <c r="AC61" s="285" t="e">
        <f>+IF(AC10&lt;&gt;0,IF(AC59&gt;=AC57,"Spełniona","Nie spełniona"),"-")</f>
        <v>#REF!</v>
      </c>
      <c r="AD61" s="285" t="e">
        <f>+IF(AD10&lt;&gt;0,IF(AD59&gt;=AD57,"Spełniona","Nie spełniona"),"-")</f>
        <v>#REF!</v>
      </c>
      <c r="AE61" s="285" t="e">
        <f>+IF(AE10&lt;&gt;0,IF(AE59&gt;=AE57,"Spełniona","Nie spełniona"),"-")</f>
        <v>#REF!</v>
      </c>
      <c r="AF61" s="285" t="e">
        <f>+IF(AF10&lt;&gt;0,IF(AF59&gt;=AF57,"Spełniona","Nie spełniona"),"-")</f>
        <v>#REF!</v>
      </c>
      <c r="AG61" s="285" t="e">
        <f>+IF(AG10&lt;&gt;0,IF(AG59&gt;=AG57,"Spełniona","Nie spełniona"),"-")</f>
        <v>#REF!</v>
      </c>
      <c r="AH61" s="285" t="e">
        <f>+IF(AH10&lt;&gt;0,IF(AH59&gt;=AH57,"Spełniona","Nie spełniona"),"-")</f>
        <v>#REF!</v>
      </c>
      <c r="AI61" s="285" t="e">
        <f>+IF(AI10&lt;&gt;0,IF(AI59&gt;=AI57,"Spełniona","Nie spełniona"),"-")</f>
        <v>#REF!</v>
      </c>
      <c r="AJ61" s="285" t="e">
        <f>+IF(AJ10&lt;&gt;0,IF(AJ59&gt;=AJ57,"Spełniona","Nie spełniona"),"-")</f>
        <v>#REF!</v>
      </c>
      <c r="AK61" s="285" t="e">
        <f>+IF(AK10&lt;&gt;0,IF(AK59&gt;=AK57,"Spełniona","Nie spełniona"),"-")</f>
        <v>#REF!</v>
      </c>
      <c r="AL61" s="286" t="e">
        <f>+IF(AL10&lt;&gt;0,IF(AL59&gt;=AL57,"Spełniona","Nie spełniona"),"-")</f>
        <v>#REF!</v>
      </c>
    </row>
    <row r="62" spans="1:38" ht="36" outlineLevel="2">
      <c r="A62" s="1" t="s">
        <v>8</v>
      </c>
      <c r="B62" s="242" t="s">
        <v>140</v>
      </c>
      <c r="C62" s="243" t="s">
        <v>439</v>
      </c>
      <c r="D62" s="251" t="s">
        <v>142</v>
      </c>
      <c r="E62" s="282">
        <f>'Zał.1_WPF_bazowy'!E55</f>
        <v>0</v>
      </c>
      <c r="F62" s="283">
        <f>'Zał.1_WPF_bazowy'!F55</f>
        <v>0</v>
      </c>
      <c r="G62" s="283">
        <f>'Zał.1_WPF_bazowy'!G55</f>
        <v>0</v>
      </c>
      <c r="H62" s="284">
        <f>'Zał.1_WPF_bazowy'!H55</f>
        <v>0</v>
      </c>
      <c r="I62" s="285">
        <f>+IF(I10&lt;&gt;0,IF(I60&gt;=I57,"Spełniona","Nie spełniona"),"-")</f>
        <v>0</v>
      </c>
      <c r="J62" s="285">
        <f>+IF(J10&lt;&gt;0,IF(J60&gt;=J57,"Spełniona","Nie spełniona"),"-")</f>
        <v>0</v>
      </c>
      <c r="K62" s="285">
        <f>+IF(K10&lt;&gt;0,IF(K60&gt;=K57,"Spełniona","Nie spełniona"),"-")</f>
        <v>0</v>
      </c>
      <c r="L62" s="285">
        <f>+IF(L10&lt;&gt;0,IF(L60&gt;=L57,"Spełniona","Nie spełniona"),"-")</f>
        <v>0</v>
      </c>
      <c r="M62" s="285">
        <f>+IF(M10&lt;&gt;0,IF(M60&gt;=M57,"Spełniona","Nie spełniona"),"-")</f>
        <v>0</v>
      </c>
      <c r="N62" s="285">
        <f>+IF(N10&lt;&gt;0,IF(N60&gt;=N57,"Spełniona","Nie spełniona"),"-")</f>
        <v>0</v>
      </c>
      <c r="O62" s="285">
        <f>+IF(O10&lt;&gt;0,IF(O60&gt;=O57,"Spełniona","Nie spełniona"),"-")</f>
        <v>0</v>
      </c>
      <c r="P62" s="285">
        <f>+IF(P10&lt;&gt;0,IF(P60&gt;=P57,"Spełniona","Nie spełniona"),"-")</f>
        <v>0</v>
      </c>
      <c r="Q62" s="285">
        <f>+IF(Q10&lt;&gt;0,IF(Q60&gt;=Q57,"Spełniona","Nie spełniona"),"-")</f>
        <v>0</v>
      </c>
      <c r="R62" s="285" t="e">
        <f>+IF(R10&lt;&gt;0,IF(R60&gt;=R57,"Spełniona","Nie spełniona"),"-")</f>
        <v>#REF!</v>
      </c>
      <c r="S62" s="285" t="e">
        <f>+IF(S10&lt;&gt;0,IF(S60&gt;=S57,"Spełniona","Nie spełniona"),"-")</f>
        <v>#REF!</v>
      </c>
      <c r="T62" s="285" t="e">
        <f>+IF(T10&lt;&gt;0,IF(T60&gt;=T57,"Spełniona","Nie spełniona"),"-")</f>
        <v>#REF!</v>
      </c>
      <c r="U62" s="285" t="e">
        <f>+IF(U10&lt;&gt;0,IF(U60&gt;=U57,"Spełniona","Nie spełniona"),"-")</f>
        <v>#REF!</v>
      </c>
      <c r="V62" s="285" t="e">
        <f>+IF(V10&lt;&gt;0,IF(V60&gt;=V57,"Spełniona","Nie spełniona"),"-")</f>
        <v>#REF!</v>
      </c>
      <c r="W62" s="285" t="e">
        <f>+IF(W10&lt;&gt;0,IF(W60&gt;=W57,"Spełniona","Nie spełniona"),"-")</f>
        <v>#REF!</v>
      </c>
      <c r="X62" s="285" t="e">
        <f>+IF(X10&lt;&gt;0,IF(X60&gt;=X57,"Spełniona","Nie spełniona"),"-")</f>
        <v>#REF!</v>
      </c>
      <c r="Y62" s="285" t="e">
        <f>+IF(Y10&lt;&gt;0,IF(Y60&gt;=Y57,"Spełniona","Nie spełniona"),"-")</f>
        <v>#REF!</v>
      </c>
      <c r="Z62" s="285" t="e">
        <f>+IF(Z10&lt;&gt;0,IF(Z60&gt;=Z57,"Spełniona","Nie spełniona"),"-")</f>
        <v>#REF!</v>
      </c>
      <c r="AA62" s="285" t="e">
        <f>+IF(AA10&lt;&gt;0,IF(AA60&gt;=AA57,"Spełniona","Nie spełniona"),"-")</f>
        <v>#REF!</v>
      </c>
      <c r="AB62" s="285" t="e">
        <f>+IF(AB10&lt;&gt;0,IF(AB60&gt;=AB57,"Spełniona","Nie spełniona"),"-")</f>
        <v>#REF!</v>
      </c>
      <c r="AC62" s="285" t="e">
        <f>+IF(AC10&lt;&gt;0,IF(AC60&gt;=AC57,"Spełniona","Nie spełniona"),"-")</f>
        <v>#REF!</v>
      </c>
      <c r="AD62" s="285" t="e">
        <f>+IF(AD10&lt;&gt;0,IF(AD60&gt;=AD57,"Spełniona","Nie spełniona"),"-")</f>
        <v>#REF!</v>
      </c>
      <c r="AE62" s="285" t="e">
        <f>+IF(AE10&lt;&gt;0,IF(AE60&gt;=AE57,"Spełniona","Nie spełniona"),"-")</f>
        <v>#REF!</v>
      </c>
      <c r="AF62" s="285" t="e">
        <f>+IF(AF10&lt;&gt;0,IF(AF60&gt;=AF57,"Spełniona","Nie spełniona"),"-")</f>
        <v>#REF!</v>
      </c>
      <c r="AG62" s="285" t="e">
        <f>+IF(AG10&lt;&gt;0,IF(AG60&gt;=AG57,"Spełniona","Nie spełniona"),"-")</f>
        <v>#REF!</v>
      </c>
      <c r="AH62" s="285" t="e">
        <f>+IF(AH10&lt;&gt;0,IF(AH60&gt;=AH57,"Spełniona","Nie spełniona"),"-")</f>
        <v>#REF!</v>
      </c>
      <c r="AI62" s="285" t="e">
        <f>+IF(AI10&lt;&gt;0,IF(AI60&gt;=AI57,"Spełniona","Nie spełniona"),"-")</f>
        <v>#REF!</v>
      </c>
      <c r="AJ62" s="285" t="e">
        <f>+IF(AJ10&lt;&gt;0,IF(AJ60&gt;=AJ57,"Spełniona","Nie spełniona"),"-")</f>
        <v>#REF!</v>
      </c>
      <c r="AK62" s="285" t="e">
        <f>+IF(AK10&lt;&gt;0,IF(AK60&gt;=AK57,"Spełniona","Nie spełniona"),"-")</f>
        <v>#REF!</v>
      </c>
      <c r="AL62" s="286" t="e">
        <f>+IF(AL10&lt;&gt;0,IF(AL60&gt;=AL57,"Spełniona","Nie spełniona"),"-")</f>
        <v>#REF!</v>
      </c>
    </row>
    <row r="63" spans="1:38" s="241" customFormat="1" ht="15" outlineLevel="1">
      <c r="A63" s="1"/>
      <c r="B63" s="233">
        <v>10</v>
      </c>
      <c r="C63" s="234"/>
      <c r="D63" s="235" t="s">
        <v>143</v>
      </c>
      <c r="E63" s="236">
        <f>'Zał.1_WPF_bazowy'!E56</f>
        <v>0</v>
      </c>
      <c r="F63" s="237">
        <f>'Zał.1_WPF_bazowy'!F56</f>
        <v>0</v>
      </c>
      <c r="G63" s="237">
        <f>'Zał.1_WPF_bazowy'!G56</f>
        <v>0</v>
      </c>
      <c r="H63" s="259">
        <f>'Zał.1_WPF_bazowy'!H56</f>
        <v>0</v>
      </c>
      <c r="I63" s="263">
        <f>+'Zał.1_WPF_bazowy'!I56</f>
        <v>0</v>
      </c>
      <c r="J63" s="264">
        <f>+'Zał.1_WPF_bazowy'!J56</f>
        <v>1478204</v>
      </c>
      <c r="K63" s="264">
        <f>+'Zał.1_WPF_bazowy'!K56</f>
        <v>1678204</v>
      </c>
      <c r="L63" s="264">
        <f>+'Zał.1_WPF_bazowy'!L56</f>
        <v>1860004</v>
      </c>
      <c r="M63" s="264">
        <f>+'Zał.1_WPF_bazowy'!M56</f>
        <v>2210004</v>
      </c>
      <c r="N63" s="264">
        <f>+'Zał.1_WPF_bazowy'!N56</f>
        <v>2210004</v>
      </c>
      <c r="O63" s="264">
        <f>+'Zał.1_WPF_bazowy'!O56</f>
        <v>2250004</v>
      </c>
      <c r="P63" s="264">
        <f>+'Zał.1_WPF_bazowy'!P56</f>
        <v>2418000</v>
      </c>
      <c r="Q63" s="264">
        <f>+'Zał.1_WPF_bazowy'!Q56</f>
        <v>2065692</v>
      </c>
      <c r="R63" s="264" t="e">
        <f>+'Zał.1_WPF_bazowy'!#REF!</f>
        <v>#REF!</v>
      </c>
      <c r="S63" s="264" t="e">
        <f>+'Zał.1_WPF_bazowy'!#REF!</f>
        <v>#REF!</v>
      </c>
      <c r="T63" s="264" t="e">
        <f>+'Zał.1_WPF_bazowy'!#REF!</f>
        <v>#REF!</v>
      </c>
      <c r="U63" s="264" t="e">
        <f>+'Zał.1_WPF_bazowy'!#REF!</f>
        <v>#REF!</v>
      </c>
      <c r="V63" s="264" t="e">
        <f>+'Zał.1_WPF_bazowy'!#REF!</f>
        <v>#REF!</v>
      </c>
      <c r="W63" s="264" t="e">
        <f>+'Zał.1_WPF_bazowy'!#REF!</f>
        <v>#REF!</v>
      </c>
      <c r="X63" s="264" t="e">
        <f>+'Zał.1_WPF_bazowy'!#REF!</f>
        <v>#REF!</v>
      </c>
      <c r="Y63" s="264" t="e">
        <f>+'Zał.1_WPF_bazowy'!#REF!</f>
        <v>#REF!</v>
      </c>
      <c r="Z63" s="264" t="e">
        <f>+'Zał.1_WPF_bazowy'!#REF!</f>
        <v>#REF!</v>
      </c>
      <c r="AA63" s="264" t="e">
        <f>+'Zał.1_WPF_bazowy'!#REF!</f>
        <v>#REF!</v>
      </c>
      <c r="AB63" s="264" t="e">
        <f>+'Zał.1_WPF_bazowy'!#REF!</f>
        <v>#REF!</v>
      </c>
      <c r="AC63" s="264" t="e">
        <f>+'Zał.1_WPF_bazowy'!#REF!</f>
        <v>#REF!</v>
      </c>
      <c r="AD63" s="264" t="e">
        <f>+'Zał.1_WPF_bazowy'!#REF!</f>
        <v>#REF!</v>
      </c>
      <c r="AE63" s="264" t="e">
        <f>+'Zał.1_WPF_bazowy'!#REF!</f>
        <v>#REF!</v>
      </c>
      <c r="AF63" s="264" t="e">
        <f>+'Zał.1_WPF_bazowy'!#REF!</f>
        <v>#REF!</v>
      </c>
      <c r="AG63" s="264" t="e">
        <f>+'Zał.1_WPF_bazowy'!#REF!</f>
        <v>#REF!</v>
      </c>
      <c r="AH63" s="264" t="e">
        <f>+'Zał.1_WPF_bazowy'!#REF!</f>
        <v>#REF!</v>
      </c>
      <c r="AI63" s="264" t="e">
        <f>+'Zał.1_WPF_bazowy'!#REF!</f>
        <v>#REF!</v>
      </c>
      <c r="AJ63" s="264" t="e">
        <f>+'Zał.1_WPF_bazowy'!#REF!</f>
        <v>#REF!</v>
      </c>
      <c r="AK63" s="264" t="e">
        <f>+'Zał.1_WPF_bazowy'!#REF!</f>
        <v>#REF!</v>
      </c>
      <c r="AL63" s="265" t="e">
        <f>+'Zał.1_WPF_bazowy'!#REF!</f>
        <v>#REF!</v>
      </c>
    </row>
    <row r="64" spans="1:256" ht="14.25" outlineLevel="2">
      <c r="A64" s="1"/>
      <c r="B64" s="242" t="s">
        <v>144</v>
      </c>
      <c r="C64" s="243"/>
      <c r="D64" s="244" t="s">
        <v>146</v>
      </c>
      <c r="E64" s="245">
        <f>'Zał.1_WPF_bazowy'!E57</f>
        <v>0</v>
      </c>
      <c r="F64" s="246">
        <f>'Zał.1_WPF_bazowy'!F57</f>
        <v>0</v>
      </c>
      <c r="G64" s="246">
        <f>'Zał.1_WPF_bazowy'!G57</f>
        <v>0</v>
      </c>
      <c r="H64" s="247">
        <f>'Zał.1_WPF_bazowy'!H57</f>
        <v>0</v>
      </c>
      <c r="I64" s="248">
        <f>+'Zał.1_WPF_bazowy'!I57</f>
        <v>0</v>
      </c>
      <c r="J64" s="249">
        <f>+'Zał.1_WPF_bazowy'!J57</f>
        <v>1478204</v>
      </c>
      <c r="K64" s="249">
        <f>+'Zał.1_WPF_bazowy'!K57</f>
        <v>1678204</v>
      </c>
      <c r="L64" s="249">
        <f>+'Zał.1_WPF_bazowy'!L57</f>
        <v>1860004</v>
      </c>
      <c r="M64" s="249">
        <f>+'Zał.1_WPF_bazowy'!M57</f>
        <v>2210004</v>
      </c>
      <c r="N64" s="249">
        <f>+'Zał.1_WPF_bazowy'!N57</f>
        <v>2210004</v>
      </c>
      <c r="O64" s="249">
        <f>+'Zał.1_WPF_bazowy'!O57</f>
        <v>2250004</v>
      </c>
      <c r="P64" s="249">
        <f>+'Zał.1_WPF_bazowy'!P57</f>
        <v>2418000</v>
      </c>
      <c r="Q64" s="249">
        <f>+'Zał.1_WPF_bazowy'!Q57</f>
        <v>1965692</v>
      </c>
      <c r="R64" s="249" t="e">
        <f>+'Zał.1_WPF_bazowy'!#REF!</f>
        <v>#REF!</v>
      </c>
      <c r="S64" s="249" t="e">
        <f>+'Zał.1_WPF_bazowy'!#REF!</f>
        <v>#REF!</v>
      </c>
      <c r="T64" s="249" t="e">
        <f>+'Zał.1_WPF_bazowy'!#REF!</f>
        <v>#REF!</v>
      </c>
      <c r="U64" s="249" t="e">
        <f>+'Zał.1_WPF_bazowy'!#REF!</f>
        <v>#REF!</v>
      </c>
      <c r="V64" s="249" t="e">
        <f>+'Zał.1_WPF_bazowy'!#REF!</f>
        <v>#REF!</v>
      </c>
      <c r="W64" s="249" t="e">
        <f>+'Zał.1_WPF_bazowy'!#REF!</f>
        <v>#REF!</v>
      </c>
      <c r="X64" s="249" t="e">
        <f>+'Zał.1_WPF_bazowy'!#REF!</f>
        <v>#REF!</v>
      </c>
      <c r="Y64" s="249" t="e">
        <f>+'Zał.1_WPF_bazowy'!#REF!</f>
        <v>#REF!</v>
      </c>
      <c r="Z64" s="249" t="e">
        <f>+'Zał.1_WPF_bazowy'!#REF!</f>
        <v>#REF!</v>
      </c>
      <c r="AA64" s="249" t="e">
        <f>+'Zał.1_WPF_bazowy'!#REF!</f>
        <v>#REF!</v>
      </c>
      <c r="AB64" s="249" t="e">
        <f>+'Zał.1_WPF_bazowy'!#REF!</f>
        <v>#REF!</v>
      </c>
      <c r="AC64" s="249" t="e">
        <f>+'Zał.1_WPF_bazowy'!#REF!</f>
        <v>#REF!</v>
      </c>
      <c r="AD64" s="249" t="e">
        <f>+'Zał.1_WPF_bazowy'!#REF!</f>
        <v>#REF!</v>
      </c>
      <c r="AE64" s="249" t="e">
        <f>+'Zał.1_WPF_bazowy'!#REF!</f>
        <v>#REF!</v>
      </c>
      <c r="AF64" s="249" t="e">
        <f>+'Zał.1_WPF_bazowy'!#REF!</f>
        <v>#REF!</v>
      </c>
      <c r="AG64" s="249" t="e">
        <f>+'Zał.1_WPF_bazowy'!#REF!</f>
        <v>#REF!</v>
      </c>
      <c r="AH64" s="249" t="e">
        <f>+'Zał.1_WPF_bazowy'!#REF!</f>
        <v>#REF!</v>
      </c>
      <c r="AI64" s="249" t="e">
        <f>+'Zał.1_WPF_bazowy'!#REF!</f>
        <v>#REF!</v>
      </c>
      <c r="AJ64" s="249" t="e">
        <f>+'Zał.1_WPF_bazowy'!#REF!</f>
        <v>#REF!</v>
      </c>
      <c r="AK64" s="249" t="e">
        <f>+'Zał.1_WPF_bazowy'!#REF!</f>
        <v>#REF!</v>
      </c>
      <c r="AL64" s="250" t="e">
        <f>+'Zał.1_WPF_bazowy'!#REF!</f>
        <v>#REF!</v>
      </c>
      <c r="IT64" s="223"/>
      <c r="IU64" s="223"/>
      <c r="IV64" s="223"/>
    </row>
    <row r="65" spans="1:256" s="241" customFormat="1" ht="15" outlineLevel="1">
      <c r="A65" s="1"/>
      <c r="B65" s="233">
        <v>11</v>
      </c>
      <c r="C65" s="234"/>
      <c r="D65" s="235" t="s">
        <v>147</v>
      </c>
      <c r="E65" s="266" t="s">
        <v>8</v>
      </c>
      <c r="F65" s="267" t="s">
        <v>8</v>
      </c>
      <c r="G65" s="267" t="s">
        <v>8</v>
      </c>
      <c r="H65" s="268" t="s">
        <v>8</v>
      </c>
      <c r="I65" s="269" t="s">
        <v>8</v>
      </c>
      <c r="J65" s="270" t="s">
        <v>8</v>
      </c>
      <c r="K65" s="270" t="s">
        <v>8</v>
      </c>
      <c r="L65" s="270" t="s">
        <v>8</v>
      </c>
      <c r="M65" s="270" t="s">
        <v>8</v>
      </c>
      <c r="N65" s="270" t="s">
        <v>8</v>
      </c>
      <c r="O65" s="270" t="s">
        <v>8</v>
      </c>
      <c r="P65" s="270" t="s">
        <v>8</v>
      </c>
      <c r="Q65" s="270" t="s">
        <v>8</v>
      </c>
      <c r="R65" s="270" t="s">
        <v>8</v>
      </c>
      <c r="S65" s="270" t="s">
        <v>8</v>
      </c>
      <c r="T65" s="270" t="s">
        <v>8</v>
      </c>
      <c r="U65" s="270" t="s">
        <v>8</v>
      </c>
      <c r="V65" s="270" t="s">
        <v>8</v>
      </c>
      <c r="W65" s="270" t="s">
        <v>8</v>
      </c>
      <c r="X65" s="270" t="s">
        <v>8</v>
      </c>
      <c r="Y65" s="270" t="s">
        <v>8</v>
      </c>
      <c r="Z65" s="270" t="s">
        <v>8</v>
      </c>
      <c r="AA65" s="270" t="s">
        <v>8</v>
      </c>
      <c r="AB65" s="270" t="s">
        <v>8</v>
      </c>
      <c r="AC65" s="270" t="s">
        <v>8</v>
      </c>
      <c r="AD65" s="270" t="s">
        <v>8</v>
      </c>
      <c r="AE65" s="270" t="s">
        <v>8</v>
      </c>
      <c r="AF65" s="270" t="s">
        <v>8</v>
      </c>
      <c r="AG65" s="270" t="s">
        <v>8</v>
      </c>
      <c r="AH65" s="270" t="s">
        <v>8</v>
      </c>
      <c r="AI65" s="270" t="s">
        <v>8</v>
      </c>
      <c r="AJ65" s="270" t="s">
        <v>8</v>
      </c>
      <c r="AK65" s="270" t="s">
        <v>8</v>
      </c>
      <c r="AL65" s="271" t="s">
        <v>8</v>
      </c>
      <c r="IT65" s="287"/>
      <c r="IU65" s="287"/>
      <c r="IV65" s="287"/>
    </row>
    <row r="66" spans="1:38" ht="14.25" outlineLevel="2">
      <c r="A66" s="1"/>
      <c r="B66" s="242" t="s">
        <v>148</v>
      </c>
      <c r="C66" s="243"/>
      <c r="D66" s="244" t="s">
        <v>150</v>
      </c>
      <c r="E66" s="245">
        <f>'Zał.1_WPF_bazowy'!E59</f>
        <v>12368065.33</v>
      </c>
      <c r="F66" s="246">
        <f>'Zał.1_WPF_bazowy'!F59</f>
        <v>12844686.27</v>
      </c>
      <c r="G66" s="246">
        <f>'Zał.1_WPF_bazowy'!G59</f>
        <v>13946795.57</v>
      </c>
      <c r="H66" s="247">
        <f>'Zał.1_WPF_bazowy'!H59</f>
        <v>13617801.27</v>
      </c>
      <c r="I66" s="248">
        <f>+'Zał.1_WPF_bazowy'!I59</f>
        <v>15060052.22</v>
      </c>
      <c r="J66" s="249">
        <f>+'Zał.1_WPF_bazowy'!J59</f>
        <v>15000000</v>
      </c>
      <c r="K66" s="249">
        <f>+'Zał.1_WPF_bazowy'!K59</f>
        <v>15300000</v>
      </c>
      <c r="L66" s="249">
        <f>+'Zał.1_WPF_bazowy'!L59</f>
        <v>15600000</v>
      </c>
      <c r="M66" s="249">
        <f>+'Zał.1_WPF_bazowy'!M59</f>
        <v>0</v>
      </c>
      <c r="N66" s="249">
        <f>+'Zał.1_WPF_bazowy'!N59</f>
        <v>0</v>
      </c>
      <c r="O66" s="249">
        <f>+'Zał.1_WPF_bazowy'!O59</f>
        <v>0</v>
      </c>
      <c r="P66" s="249">
        <f>+'Zał.1_WPF_bazowy'!P59</f>
        <v>0</v>
      </c>
      <c r="Q66" s="249">
        <f>+'Zał.1_WPF_bazowy'!Q59</f>
        <v>0</v>
      </c>
      <c r="R66" s="249" t="e">
        <f>+'Zał.1_WPF_bazowy'!#REF!</f>
        <v>#REF!</v>
      </c>
      <c r="S66" s="249" t="e">
        <f>+'Zał.1_WPF_bazowy'!#REF!</f>
        <v>#REF!</v>
      </c>
      <c r="T66" s="249" t="e">
        <f>+'Zał.1_WPF_bazowy'!#REF!</f>
        <v>#REF!</v>
      </c>
      <c r="U66" s="249" t="e">
        <f>+'Zał.1_WPF_bazowy'!#REF!</f>
        <v>#REF!</v>
      </c>
      <c r="V66" s="249" t="e">
        <f>+'Zał.1_WPF_bazowy'!#REF!</f>
        <v>#REF!</v>
      </c>
      <c r="W66" s="249" t="e">
        <f>+'Zał.1_WPF_bazowy'!#REF!</f>
        <v>#REF!</v>
      </c>
      <c r="X66" s="249" t="e">
        <f>+'Zał.1_WPF_bazowy'!#REF!</f>
        <v>#REF!</v>
      </c>
      <c r="Y66" s="249" t="e">
        <f>+'Zał.1_WPF_bazowy'!#REF!</f>
        <v>#REF!</v>
      </c>
      <c r="Z66" s="249" t="e">
        <f>+'Zał.1_WPF_bazowy'!#REF!</f>
        <v>#REF!</v>
      </c>
      <c r="AA66" s="249" t="e">
        <f>+'Zał.1_WPF_bazowy'!#REF!</f>
        <v>#REF!</v>
      </c>
      <c r="AB66" s="249" t="e">
        <f>+'Zał.1_WPF_bazowy'!#REF!</f>
        <v>#REF!</v>
      </c>
      <c r="AC66" s="249" t="e">
        <f>+'Zał.1_WPF_bazowy'!#REF!</f>
        <v>#REF!</v>
      </c>
      <c r="AD66" s="249" t="e">
        <f>+'Zał.1_WPF_bazowy'!#REF!</f>
        <v>#REF!</v>
      </c>
      <c r="AE66" s="249" t="e">
        <f>+'Zał.1_WPF_bazowy'!#REF!</f>
        <v>#REF!</v>
      </c>
      <c r="AF66" s="249" t="e">
        <f>+'Zał.1_WPF_bazowy'!#REF!</f>
        <v>#REF!</v>
      </c>
      <c r="AG66" s="249" t="e">
        <f>+'Zał.1_WPF_bazowy'!#REF!</f>
        <v>#REF!</v>
      </c>
      <c r="AH66" s="249" t="e">
        <f>+'Zał.1_WPF_bazowy'!#REF!</f>
        <v>#REF!</v>
      </c>
      <c r="AI66" s="249" t="e">
        <f>+'Zał.1_WPF_bazowy'!#REF!</f>
        <v>#REF!</v>
      </c>
      <c r="AJ66" s="249" t="e">
        <f>+'Zał.1_WPF_bazowy'!#REF!</f>
        <v>#REF!</v>
      </c>
      <c r="AK66" s="249" t="e">
        <f>+'Zał.1_WPF_bazowy'!#REF!</f>
        <v>#REF!</v>
      </c>
      <c r="AL66" s="250" t="e">
        <f>+'Zał.1_WPF_bazowy'!#REF!</f>
        <v>#REF!</v>
      </c>
    </row>
    <row r="67" spans="1:38" ht="14.25" outlineLevel="2">
      <c r="A67" s="1"/>
      <c r="B67" s="242" t="s">
        <v>151</v>
      </c>
      <c r="C67" s="243"/>
      <c r="D67" s="244" t="s">
        <v>153</v>
      </c>
      <c r="E67" s="245">
        <f>'Zał.1_WPF_bazowy'!E60</f>
        <v>2986207.91</v>
      </c>
      <c r="F67" s="246">
        <f>'Zał.1_WPF_bazowy'!F60</f>
        <v>3073324.39</v>
      </c>
      <c r="G67" s="246">
        <f>'Zał.1_WPF_bazowy'!G60</f>
        <v>3391850</v>
      </c>
      <c r="H67" s="247">
        <f>'Zał.1_WPF_bazowy'!H60</f>
        <v>3294936.64</v>
      </c>
      <c r="I67" s="248">
        <f>+'Zał.1_WPF_bazowy'!I60</f>
        <v>3721811</v>
      </c>
      <c r="J67" s="249">
        <f>+'Zał.1_WPF_bazowy'!J60</f>
        <v>3450000</v>
      </c>
      <c r="K67" s="249">
        <f>+'Zał.1_WPF_bazowy'!K60</f>
        <v>3500000</v>
      </c>
      <c r="L67" s="249">
        <f>+'Zał.1_WPF_bazowy'!L60</f>
        <v>3550000</v>
      </c>
      <c r="M67" s="249">
        <f>+'Zał.1_WPF_bazowy'!M60</f>
        <v>0</v>
      </c>
      <c r="N67" s="249">
        <f>+'Zał.1_WPF_bazowy'!N60</f>
        <v>0</v>
      </c>
      <c r="O67" s="249">
        <f>+'Zał.1_WPF_bazowy'!O60</f>
        <v>0</v>
      </c>
      <c r="P67" s="249">
        <f>+'Zał.1_WPF_bazowy'!P60</f>
        <v>0</v>
      </c>
      <c r="Q67" s="249">
        <f>+'Zał.1_WPF_bazowy'!Q60</f>
        <v>0</v>
      </c>
      <c r="R67" s="249" t="e">
        <f>+'Zał.1_WPF_bazowy'!#REF!</f>
        <v>#REF!</v>
      </c>
      <c r="S67" s="249" t="e">
        <f>+'Zał.1_WPF_bazowy'!#REF!</f>
        <v>#REF!</v>
      </c>
      <c r="T67" s="249" t="e">
        <f>+'Zał.1_WPF_bazowy'!#REF!</f>
        <v>#REF!</v>
      </c>
      <c r="U67" s="249" t="e">
        <f>+'Zał.1_WPF_bazowy'!#REF!</f>
        <v>#REF!</v>
      </c>
      <c r="V67" s="249" t="e">
        <f>+'Zał.1_WPF_bazowy'!#REF!</f>
        <v>#REF!</v>
      </c>
      <c r="W67" s="249" t="e">
        <f>+'Zał.1_WPF_bazowy'!#REF!</f>
        <v>#REF!</v>
      </c>
      <c r="X67" s="249" t="e">
        <f>+'Zał.1_WPF_bazowy'!#REF!</f>
        <v>#REF!</v>
      </c>
      <c r="Y67" s="249" t="e">
        <f>+'Zał.1_WPF_bazowy'!#REF!</f>
        <v>#REF!</v>
      </c>
      <c r="Z67" s="249" t="e">
        <f>+'Zał.1_WPF_bazowy'!#REF!</f>
        <v>#REF!</v>
      </c>
      <c r="AA67" s="249" t="e">
        <f>+'Zał.1_WPF_bazowy'!#REF!</f>
        <v>#REF!</v>
      </c>
      <c r="AB67" s="249" t="e">
        <f>+'Zał.1_WPF_bazowy'!#REF!</f>
        <v>#REF!</v>
      </c>
      <c r="AC67" s="249" t="e">
        <f>+'Zał.1_WPF_bazowy'!#REF!</f>
        <v>#REF!</v>
      </c>
      <c r="AD67" s="249" t="e">
        <f>+'Zał.1_WPF_bazowy'!#REF!</f>
        <v>#REF!</v>
      </c>
      <c r="AE67" s="249" t="e">
        <f>+'Zał.1_WPF_bazowy'!#REF!</f>
        <v>#REF!</v>
      </c>
      <c r="AF67" s="249" t="e">
        <f>+'Zał.1_WPF_bazowy'!#REF!</f>
        <v>#REF!</v>
      </c>
      <c r="AG67" s="249" t="e">
        <f>+'Zał.1_WPF_bazowy'!#REF!</f>
        <v>#REF!</v>
      </c>
      <c r="AH67" s="249" t="e">
        <f>+'Zał.1_WPF_bazowy'!#REF!</f>
        <v>#REF!</v>
      </c>
      <c r="AI67" s="249" t="e">
        <f>+'Zał.1_WPF_bazowy'!#REF!</f>
        <v>#REF!</v>
      </c>
      <c r="AJ67" s="249" t="e">
        <f>+'Zał.1_WPF_bazowy'!#REF!</f>
        <v>#REF!</v>
      </c>
      <c r="AK67" s="249" t="e">
        <f>+'Zał.1_WPF_bazowy'!#REF!</f>
        <v>#REF!</v>
      </c>
      <c r="AL67" s="250" t="e">
        <f>+'Zał.1_WPF_bazowy'!#REF!</f>
        <v>#REF!</v>
      </c>
    </row>
    <row r="68" spans="1:38" ht="14.25" outlineLevel="2">
      <c r="A68" s="1"/>
      <c r="B68" s="242" t="s">
        <v>154</v>
      </c>
      <c r="C68" s="243" t="s">
        <v>440</v>
      </c>
      <c r="D68" s="244" t="s">
        <v>156</v>
      </c>
      <c r="E68" s="245">
        <f>'Zał.1_WPF_bazowy'!E61</f>
        <v>2706336.15</v>
      </c>
      <c r="F68" s="246">
        <f>'Zał.1_WPF_bazowy'!F61</f>
        <v>1320685.63</v>
      </c>
      <c r="G68" s="246">
        <f>'Zał.1_WPF_bazowy'!G61</f>
        <v>1521985.68</v>
      </c>
      <c r="H68" s="256">
        <f>+H69+H70</f>
        <v>1134356.98</v>
      </c>
      <c r="I68" s="257">
        <f>+I69+I70</f>
        <v>383250</v>
      </c>
      <c r="J68" s="258">
        <f>+J69+J70</f>
        <v>2777617.88</v>
      </c>
      <c r="K68" s="258">
        <f>+K69+K70</f>
        <v>1602450</v>
      </c>
      <c r="L68" s="258">
        <f>+L69+L70</f>
        <v>1469100</v>
      </c>
      <c r="M68" s="258">
        <f>+M69+M70</f>
        <v>0</v>
      </c>
      <c r="N68" s="258">
        <f>+N69+N70</f>
        <v>0</v>
      </c>
      <c r="O68" s="258">
        <f>+O69+O70</f>
        <v>0</v>
      </c>
      <c r="P68" s="258">
        <f>+P69+P70</f>
        <v>0</v>
      </c>
      <c r="Q68" s="258">
        <f>+Q69+Q70</f>
        <v>0</v>
      </c>
      <c r="R68" s="258" t="e">
        <f>+R69+R70</f>
        <v>#REF!</v>
      </c>
      <c r="S68" s="258" t="e">
        <f>+S69+S70</f>
        <v>#REF!</v>
      </c>
      <c r="T68" s="258" t="e">
        <f>+T69+T70</f>
        <v>#REF!</v>
      </c>
      <c r="U68" s="258" t="e">
        <f>+U69+U70</f>
        <v>#REF!</v>
      </c>
      <c r="V68" s="258" t="e">
        <f>+V69+V70</f>
        <v>#REF!</v>
      </c>
      <c r="W68" s="258" t="e">
        <f>+W69+W70</f>
        <v>#REF!</v>
      </c>
      <c r="X68" s="258" t="e">
        <f>+X69+X70</f>
        <v>#REF!</v>
      </c>
      <c r="Y68" s="258" t="e">
        <f>+Y69+Y70</f>
        <v>#REF!</v>
      </c>
      <c r="Z68" s="258" t="e">
        <f>+Z69+Z70</f>
        <v>#REF!</v>
      </c>
      <c r="AA68" s="258" t="e">
        <f>+AA69+AA70</f>
        <v>#REF!</v>
      </c>
      <c r="AB68" s="258" t="e">
        <f>+AB69+AB70</f>
        <v>#REF!</v>
      </c>
      <c r="AC68" s="258" t="e">
        <f>+AC69+AC70</f>
        <v>#REF!</v>
      </c>
      <c r="AD68" s="258" t="e">
        <f>+AD69+AD70</f>
        <v>#REF!</v>
      </c>
      <c r="AE68" s="258" t="e">
        <f>+AE69+AE70</f>
        <v>#REF!</v>
      </c>
      <c r="AF68" s="258" t="e">
        <f>+AF69+AF70</f>
        <v>#REF!</v>
      </c>
      <c r="AG68" s="258" t="e">
        <f>+AG69+AG70</f>
        <v>#REF!</v>
      </c>
      <c r="AH68" s="258" t="e">
        <f>+AH69+AH70</f>
        <v>#REF!</v>
      </c>
      <c r="AI68" s="258" t="e">
        <f>+AI69+AI70</f>
        <v>#REF!</v>
      </c>
      <c r="AJ68" s="258" t="e">
        <f>+AJ69+AJ70</f>
        <v>#REF!</v>
      </c>
      <c r="AK68" s="258" t="e">
        <f>+AK69+AK70</f>
        <v>#REF!</v>
      </c>
      <c r="AL68" s="256" t="e">
        <f>+AL69+AL70</f>
        <v>#REF!</v>
      </c>
    </row>
    <row r="69" spans="1:38" ht="14.25" outlineLevel="2">
      <c r="A69" s="1"/>
      <c r="B69" s="242" t="s">
        <v>157</v>
      </c>
      <c r="C69" s="243"/>
      <c r="D69" s="251" t="s">
        <v>159</v>
      </c>
      <c r="E69" s="245">
        <f>'Zał.1_WPF_bazowy'!E62</f>
        <v>885100.65</v>
      </c>
      <c r="F69" s="246">
        <f>'Zał.1_WPF_bazowy'!F62</f>
        <v>1182848.52</v>
      </c>
      <c r="G69" s="246">
        <f>'Zał.1_WPF_bazowy'!G62</f>
        <v>1421985.68</v>
      </c>
      <c r="H69" s="247">
        <f>'Zał.1_WPF_bazowy'!H62</f>
        <v>1088556.98</v>
      </c>
      <c r="I69" s="248">
        <f>+'Zał.1_WPF_bazowy'!I62</f>
        <v>13250</v>
      </c>
      <c r="J69" s="249">
        <f>+'Zał.1_WPF_bazowy'!J62</f>
        <v>20200</v>
      </c>
      <c r="K69" s="249">
        <f>+'Zał.1_WPF_bazowy'!K62</f>
        <v>2450</v>
      </c>
      <c r="L69" s="249">
        <f>+'Zał.1_WPF_bazowy'!L62</f>
        <v>3100</v>
      </c>
      <c r="M69" s="249">
        <f>+'Zał.1_WPF_bazowy'!M62</f>
        <v>0</v>
      </c>
      <c r="N69" s="249">
        <f>+'Zał.1_WPF_bazowy'!N62</f>
        <v>0</v>
      </c>
      <c r="O69" s="249">
        <f>+'Zał.1_WPF_bazowy'!O62</f>
        <v>0</v>
      </c>
      <c r="P69" s="249">
        <f>+'Zał.1_WPF_bazowy'!P62</f>
        <v>0</v>
      </c>
      <c r="Q69" s="249">
        <f>+'Zał.1_WPF_bazowy'!Q62</f>
        <v>0</v>
      </c>
      <c r="R69" s="249" t="e">
        <f>+'Zał.1_WPF_bazowy'!#REF!</f>
        <v>#REF!</v>
      </c>
      <c r="S69" s="249" t="e">
        <f>+'Zał.1_WPF_bazowy'!#REF!</f>
        <v>#REF!</v>
      </c>
      <c r="T69" s="249" t="e">
        <f>+'Zał.1_WPF_bazowy'!#REF!</f>
        <v>#REF!</v>
      </c>
      <c r="U69" s="249" t="e">
        <f>+'Zał.1_WPF_bazowy'!#REF!</f>
        <v>#REF!</v>
      </c>
      <c r="V69" s="249" t="e">
        <f>+'Zał.1_WPF_bazowy'!#REF!</f>
        <v>#REF!</v>
      </c>
      <c r="W69" s="249" t="e">
        <f>+'Zał.1_WPF_bazowy'!#REF!</f>
        <v>#REF!</v>
      </c>
      <c r="X69" s="249" t="e">
        <f>+'Zał.1_WPF_bazowy'!#REF!</f>
        <v>#REF!</v>
      </c>
      <c r="Y69" s="249" t="e">
        <f>+'Zał.1_WPF_bazowy'!#REF!</f>
        <v>#REF!</v>
      </c>
      <c r="Z69" s="249" t="e">
        <f>+'Zał.1_WPF_bazowy'!#REF!</f>
        <v>#REF!</v>
      </c>
      <c r="AA69" s="249" t="e">
        <f>+'Zał.1_WPF_bazowy'!#REF!</f>
        <v>#REF!</v>
      </c>
      <c r="AB69" s="249" t="e">
        <f>+'Zał.1_WPF_bazowy'!#REF!</f>
        <v>#REF!</v>
      </c>
      <c r="AC69" s="249" t="e">
        <f>+'Zał.1_WPF_bazowy'!#REF!</f>
        <v>#REF!</v>
      </c>
      <c r="AD69" s="249" t="e">
        <f>+'Zał.1_WPF_bazowy'!#REF!</f>
        <v>#REF!</v>
      </c>
      <c r="AE69" s="249" t="e">
        <f>+'Zał.1_WPF_bazowy'!#REF!</f>
        <v>#REF!</v>
      </c>
      <c r="AF69" s="249" t="e">
        <f>+'Zał.1_WPF_bazowy'!#REF!</f>
        <v>#REF!</v>
      </c>
      <c r="AG69" s="249" t="e">
        <f>+'Zał.1_WPF_bazowy'!#REF!</f>
        <v>#REF!</v>
      </c>
      <c r="AH69" s="249" t="e">
        <f>+'Zał.1_WPF_bazowy'!#REF!</f>
        <v>#REF!</v>
      </c>
      <c r="AI69" s="249" t="e">
        <f>+'Zał.1_WPF_bazowy'!#REF!</f>
        <v>#REF!</v>
      </c>
      <c r="AJ69" s="249" t="e">
        <f>+'Zał.1_WPF_bazowy'!#REF!</f>
        <v>#REF!</v>
      </c>
      <c r="AK69" s="249" t="e">
        <f>+'Zał.1_WPF_bazowy'!#REF!</f>
        <v>#REF!</v>
      </c>
      <c r="AL69" s="250" t="e">
        <f>+'Zał.1_WPF_bazowy'!#REF!</f>
        <v>#REF!</v>
      </c>
    </row>
    <row r="70" spans="1:38" ht="14.25" outlineLevel="2">
      <c r="A70" s="1"/>
      <c r="B70" s="242" t="s">
        <v>160</v>
      </c>
      <c r="C70" s="243"/>
      <c r="D70" s="251" t="s">
        <v>162</v>
      </c>
      <c r="E70" s="245">
        <f>'Zał.1_WPF_bazowy'!E63</f>
        <v>1821235.5</v>
      </c>
      <c r="F70" s="246">
        <f>'Zał.1_WPF_bazowy'!F63</f>
        <v>137837.11</v>
      </c>
      <c r="G70" s="246">
        <f>'Zał.1_WPF_bazowy'!G63</f>
        <v>100000</v>
      </c>
      <c r="H70" s="247">
        <f>'Zał.1_WPF_bazowy'!H63</f>
        <v>45800</v>
      </c>
      <c r="I70" s="248">
        <f>+'Zał.1_WPF_bazowy'!I63</f>
        <v>370000</v>
      </c>
      <c r="J70" s="249">
        <f>+'Zał.1_WPF_bazowy'!J63</f>
        <v>2757417.88</v>
      </c>
      <c r="K70" s="249">
        <f>+'Zał.1_WPF_bazowy'!K63</f>
        <v>1600000</v>
      </c>
      <c r="L70" s="249">
        <f>+'Zał.1_WPF_bazowy'!L63</f>
        <v>1466000</v>
      </c>
      <c r="M70" s="249">
        <f>+'Zał.1_WPF_bazowy'!M63</f>
        <v>0</v>
      </c>
      <c r="N70" s="249">
        <f>+'Zał.1_WPF_bazowy'!N63</f>
        <v>0</v>
      </c>
      <c r="O70" s="249">
        <f>+'Zał.1_WPF_bazowy'!O63</f>
        <v>0</v>
      </c>
      <c r="P70" s="249">
        <f>+'Zał.1_WPF_bazowy'!P63</f>
        <v>0</v>
      </c>
      <c r="Q70" s="249">
        <f>+'Zał.1_WPF_bazowy'!Q63</f>
        <v>0</v>
      </c>
      <c r="R70" s="249" t="e">
        <f>+'Zał.1_WPF_bazowy'!#REF!</f>
        <v>#REF!</v>
      </c>
      <c r="S70" s="249" t="e">
        <f>+'Zał.1_WPF_bazowy'!#REF!</f>
        <v>#REF!</v>
      </c>
      <c r="T70" s="249" t="e">
        <f>+'Zał.1_WPF_bazowy'!#REF!</f>
        <v>#REF!</v>
      </c>
      <c r="U70" s="249" t="e">
        <f>+'Zał.1_WPF_bazowy'!#REF!</f>
        <v>#REF!</v>
      </c>
      <c r="V70" s="249" t="e">
        <f>+'Zał.1_WPF_bazowy'!#REF!</f>
        <v>#REF!</v>
      </c>
      <c r="W70" s="249" t="e">
        <f>+'Zał.1_WPF_bazowy'!#REF!</f>
        <v>#REF!</v>
      </c>
      <c r="X70" s="249" t="e">
        <f>+'Zał.1_WPF_bazowy'!#REF!</f>
        <v>#REF!</v>
      </c>
      <c r="Y70" s="249" t="e">
        <f>+'Zał.1_WPF_bazowy'!#REF!</f>
        <v>#REF!</v>
      </c>
      <c r="Z70" s="249" t="e">
        <f>+'Zał.1_WPF_bazowy'!#REF!</f>
        <v>#REF!</v>
      </c>
      <c r="AA70" s="249" t="e">
        <f>+'Zał.1_WPF_bazowy'!#REF!</f>
        <v>#REF!</v>
      </c>
      <c r="AB70" s="249" t="e">
        <f>+'Zał.1_WPF_bazowy'!#REF!</f>
        <v>#REF!</v>
      </c>
      <c r="AC70" s="249" t="e">
        <f>+'Zał.1_WPF_bazowy'!#REF!</f>
        <v>#REF!</v>
      </c>
      <c r="AD70" s="249" t="e">
        <f>+'Zał.1_WPF_bazowy'!#REF!</f>
        <v>#REF!</v>
      </c>
      <c r="AE70" s="249" t="e">
        <f>+'Zał.1_WPF_bazowy'!#REF!</f>
        <v>#REF!</v>
      </c>
      <c r="AF70" s="249" t="e">
        <f>+'Zał.1_WPF_bazowy'!#REF!</f>
        <v>#REF!</v>
      </c>
      <c r="AG70" s="249" t="e">
        <f>+'Zał.1_WPF_bazowy'!#REF!</f>
        <v>#REF!</v>
      </c>
      <c r="AH70" s="249" t="e">
        <f>+'Zał.1_WPF_bazowy'!#REF!</f>
        <v>#REF!</v>
      </c>
      <c r="AI70" s="249" t="e">
        <f>+'Zał.1_WPF_bazowy'!#REF!</f>
        <v>#REF!</v>
      </c>
      <c r="AJ70" s="249" t="e">
        <f>+'Zał.1_WPF_bazowy'!#REF!</f>
        <v>#REF!</v>
      </c>
      <c r="AK70" s="249" t="e">
        <f>+'Zał.1_WPF_bazowy'!#REF!</f>
        <v>#REF!</v>
      </c>
      <c r="AL70" s="250" t="e">
        <f>+'Zał.1_WPF_bazowy'!#REF!</f>
        <v>#REF!</v>
      </c>
    </row>
    <row r="71" spans="1:38" ht="14.25" outlineLevel="2">
      <c r="A71" s="1"/>
      <c r="B71" s="242" t="s">
        <v>163</v>
      </c>
      <c r="C71" s="243"/>
      <c r="D71" s="244" t="s">
        <v>165</v>
      </c>
      <c r="E71" s="245">
        <f>'Zał.1_WPF_bazowy'!E64</f>
        <v>4829267.54</v>
      </c>
      <c r="F71" s="246">
        <f>'Zał.1_WPF_bazowy'!F64</f>
        <v>2958206</v>
      </c>
      <c r="G71" s="246">
        <f>'Zał.1_WPF_bazowy'!G64</f>
        <v>6615873</v>
      </c>
      <c r="H71" s="247">
        <f>'Zał.1_WPF_bazowy'!H64</f>
        <v>6393745.12</v>
      </c>
      <c r="I71" s="248">
        <f>+'Zał.1_WPF_bazowy'!I64</f>
        <v>1263017.73</v>
      </c>
      <c r="J71" s="249">
        <f>+'Zał.1_WPF_bazowy'!J64</f>
        <v>0</v>
      </c>
      <c r="K71" s="249">
        <f>+'Zał.1_WPF_bazowy'!K64</f>
        <v>0</v>
      </c>
      <c r="L71" s="249">
        <f>+'Zał.1_WPF_bazowy'!L64</f>
        <v>0</v>
      </c>
      <c r="M71" s="249">
        <f>+'Zał.1_WPF_bazowy'!M64</f>
        <v>0</v>
      </c>
      <c r="N71" s="249">
        <f>+'Zał.1_WPF_bazowy'!N64</f>
        <v>0</v>
      </c>
      <c r="O71" s="249">
        <f>+'Zał.1_WPF_bazowy'!O64</f>
        <v>0</v>
      </c>
      <c r="P71" s="249">
        <f>+'Zał.1_WPF_bazowy'!P64</f>
        <v>0</v>
      </c>
      <c r="Q71" s="249">
        <f>+'Zał.1_WPF_bazowy'!Q64</f>
        <v>0</v>
      </c>
      <c r="R71" s="249" t="e">
        <f>+'Zał.1_WPF_bazowy'!#REF!</f>
        <v>#REF!</v>
      </c>
      <c r="S71" s="249" t="e">
        <f>+'Zał.1_WPF_bazowy'!#REF!</f>
        <v>#REF!</v>
      </c>
      <c r="T71" s="249" t="e">
        <f>+'Zał.1_WPF_bazowy'!#REF!</f>
        <v>#REF!</v>
      </c>
      <c r="U71" s="249" t="e">
        <f>+'Zał.1_WPF_bazowy'!#REF!</f>
        <v>#REF!</v>
      </c>
      <c r="V71" s="249" t="e">
        <f>+'Zał.1_WPF_bazowy'!#REF!</f>
        <v>#REF!</v>
      </c>
      <c r="W71" s="249" t="e">
        <f>+'Zał.1_WPF_bazowy'!#REF!</f>
        <v>#REF!</v>
      </c>
      <c r="X71" s="249" t="e">
        <f>+'Zał.1_WPF_bazowy'!#REF!</f>
        <v>#REF!</v>
      </c>
      <c r="Y71" s="249" t="e">
        <f>+'Zał.1_WPF_bazowy'!#REF!</f>
        <v>#REF!</v>
      </c>
      <c r="Z71" s="249" t="e">
        <f>+'Zał.1_WPF_bazowy'!#REF!</f>
        <v>#REF!</v>
      </c>
      <c r="AA71" s="249" t="e">
        <f>+'Zał.1_WPF_bazowy'!#REF!</f>
        <v>#REF!</v>
      </c>
      <c r="AB71" s="249" t="e">
        <f>+'Zał.1_WPF_bazowy'!#REF!</f>
        <v>#REF!</v>
      </c>
      <c r="AC71" s="249" t="e">
        <f>+'Zał.1_WPF_bazowy'!#REF!</f>
        <v>#REF!</v>
      </c>
      <c r="AD71" s="249" t="e">
        <f>+'Zał.1_WPF_bazowy'!#REF!</f>
        <v>#REF!</v>
      </c>
      <c r="AE71" s="249" t="e">
        <f>+'Zał.1_WPF_bazowy'!#REF!</f>
        <v>#REF!</v>
      </c>
      <c r="AF71" s="249" t="e">
        <f>+'Zał.1_WPF_bazowy'!#REF!</f>
        <v>#REF!</v>
      </c>
      <c r="AG71" s="249" t="e">
        <f>+'Zał.1_WPF_bazowy'!#REF!</f>
        <v>#REF!</v>
      </c>
      <c r="AH71" s="249" t="e">
        <f>+'Zał.1_WPF_bazowy'!#REF!</f>
        <v>#REF!</v>
      </c>
      <c r="AI71" s="249" t="e">
        <f>+'Zał.1_WPF_bazowy'!#REF!</f>
        <v>#REF!</v>
      </c>
      <c r="AJ71" s="249" t="e">
        <f>+'Zał.1_WPF_bazowy'!#REF!</f>
        <v>#REF!</v>
      </c>
      <c r="AK71" s="249" t="e">
        <f>+'Zał.1_WPF_bazowy'!#REF!</f>
        <v>#REF!</v>
      </c>
      <c r="AL71" s="250" t="e">
        <f>+'Zał.1_WPF_bazowy'!#REF!</f>
        <v>#REF!</v>
      </c>
    </row>
    <row r="72" spans="1:38" ht="14.25" outlineLevel="2">
      <c r="A72" s="1"/>
      <c r="B72" s="242" t="s">
        <v>166</v>
      </c>
      <c r="C72" s="243"/>
      <c r="D72" s="244" t="s">
        <v>168</v>
      </c>
      <c r="E72" s="245">
        <f>'Zał.1_WPF_bazowy'!E65</f>
        <v>1680528.06</v>
      </c>
      <c r="F72" s="246">
        <f>'Zał.1_WPF_bazowy'!F65</f>
        <v>2364458.2</v>
      </c>
      <c r="G72" s="246">
        <f>'Zał.1_WPF_bazowy'!G65</f>
        <v>2967100</v>
      </c>
      <c r="H72" s="247">
        <f>'Zał.1_WPF_bazowy'!H65</f>
        <v>769350.15</v>
      </c>
      <c r="I72" s="248">
        <f>+'Zał.1_WPF_bazowy'!I65</f>
        <v>2322402</v>
      </c>
      <c r="J72" s="249">
        <f>+'Zał.1_WPF_bazowy'!J65</f>
        <v>0</v>
      </c>
      <c r="K72" s="249">
        <f>+'Zał.1_WPF_bazowy'!K65</f>
        <v>0</v>
      </c>
      <c r="L72" s="249">
        <f>+'Zał.1_WPF_bazowy'!L65</f>
        <v>0</v>
      </c>
      <c r="M72" s="249">
        <f>+'Zał.1_WPF_bazowy'!M65</f>
        <v>0</v>
      </c>
      <c r="N72" s="249">
        <f>+'Zał.1_WPF_bazowy'!N65</f>
        <v>0</v>
      </c>
      <c r="O72" s="249">
        <f>+'Zał.1_WPF_bazowy'!O65</f>
        <v>0</v>
      </c>
      <c r="P72" s="249">
        <f>+'Zał.1_WPF_bazowy'!P65</f>
        <v>0</v>
      </c>
      <c r="Q72" s="249">
        <f>+'Zał.1_WPF_bazowy'!Q65</f>
        <v>0</v>
      </c>
      <c r="R72" s="249" t="e">
        <f>+'Zał.1_WPF_bazowy'!#REF!</f>
        <v>#REF!</v>
      </c>
      <c r="S72" s="249" t="e">
        <f>+'Zał.1_WPF_bazowy'!#REF!</f>
        <v>#REF!</v>
      </c>
      <c r="T72" s="249" t="e">
        <f>+'Zał.1_WPF_bazowy'!#REF!</f>
        <v>#REF!</v>
      </c>
      <c r="U72" s="249" t="e">
        <f>+'Zał.1_WPF_bazowy'!#REF!</f>
        <v>#REF!</v>
      </c>
      <c r="V72" s="249" t="e">
        <f>+'Zał.1_WPF_bazowy'!#REF!</f>
        <v>#REF!</v>
      </c>
      <c r="W72" s="249" t="e">
        <f>+'Zał.1_WPF_bazowy'!#REF!</f>
        <v>#REF!</v>
      </c>
      <c r="X72" s="249" t="e">
        <f>+'Zał.1_WPF_bazowy'!#REF!</f>
        <v>#REF!</v>
      </c>
      <c r="Y72" s="249" t="e">
        <f>+'Zał.1_WPF_bazowy'!#REF!</f>
        <v>#REF!</v>
      </c>
      <c r="Z72" s="249" t="e">
        <f>+'Zał.1_WPF_bazowy'!#REF!</f>
        <v>#REF!</v>
      </c>
      <c r="AA72" s="249" t="e">
        <f>+'Zał.1_WPF_bazowy'!#REF!</f>
        <v>#REF!</v>
      </c>
      <c r="AB72" s="249" t="e">
        <f>+'Zał.1_WPF_bazowy'!#REF!</f>
        <v>#REF!</v>
      </c>
      <c r="AC72" s="249" t="e">
        <f>+'Zał.1_WPF_bazowy'!#REF!</f>
        <v>#REF!</v>
      </c>
      <c r="AD72" s="249" t="e">
        <f>+'Zał.1_WPF_bazowy'!#REF!</f>
        <v>#REF!</v>
      </c>
      <c r="AE72" s="249" t="e">
        <f>+'Zał.1_WPF_bazowy'!#REF!</f>
        <v>#REF!</v>
      </c>
      <c r="AF72" s="249" t="e">
        <f>+'Zał.1_WPF_bazowy'!#REF!</f>
        <v>#REF!</v>
      </c>
      <c r="AG72" s="249" t="e">
        <f>+'Zał.1_WPF_bazowy'!#REF!</f>
        <v>#REF!</v>
      </c>
      <c r="AH72" s="249" t="e">
        <f>+'Zał.1_WPF_bazowy'!#REF!</f>
        <v>#REF!</v>
      </c>
      <c r="AI72" s="249" t="e">
        <f>+'Zał.1_WPF_bazowy'!#REF!</f>
        <v>#REF!</v>
      </c>
      <c r="AJ72" s="249" t="e">
        <f>+'Zał.1_WPF_bazowy'!#REF!</f>
        <v>#REF!</v>
      </c>
      <c r="AK72" s="249" t="e">
        <f>+'Zał.1_WPF_bazowy'!#REF!</f>
        <v>#REF!</v>
      </c>
      <c r="AL72" s="250" t="e">
        <f>+'Zał.1_WPF_bazowy'!#REF!</f>
        <v>#REF!</v>
      </c>
    </row>
    <row r="73" spans="1:38" ht="14.25" outlineLevel="2">
      <c r="A73" s="1"/>
      <c r="B73" s="242" t="s">
        <v>169</v>
      </c>
      <c r="C73" s="243"/>
      <c r="D73" s="244" t="s">
        <v>171</v>
      </c>
      <c r="E73" s="245">
        <f>'Zał.1_WPF_bazowy'!E66</f>
        <v>319894</v>
      </c>
      <c r="F73" s="246">
        <f>'Zał.1_WPF_bazowy'!F66</f>
        <v>458831</v>
      </c>
      <c r="G73" s="246">
        <f>'Zał.1_WPF_bazowy'!G66</f>
        <v>636400</v>
      </c>
      <c r="H73" s="247">
        <f>'Zał.1_WPF_bazowy'!H66</f>
        <v>636400</v>
      </c>
      <c r="I73" s="248">
        <f>+'Zał.1_WPF_bazowy'!I66</f>
        <v>70000</v>
      </c>
      <c r="J73" s="249">
        <f>+'Zał.1_WPF_bazowy'!J66</f>
        <v>0</v>
      </c>
      <c r="K73" s="249">
        <f>+'Zał.1_WPF_bazowy'!K66</f>
        <v>0</v>
      </c>
      <c r="L73" s="249">
        <f>+'Zał.1_WPF_bazowy'!L66</f>
        <v>0</v>
      </c>
      <c r="M73" s="249">
        <f>+'Zał.1_WPF_bazowy'!M66</f>
        <v>0</v>
      </c>
      <c r="N73" s="249">
        <f>+'Zał.1_WPF_bazowy'!N66</f>
        <v>0</v>
      </c>
      <c r="O73" s="249">
        <f>+'Zał.1_WPF_bazowy'!O66</f>
        <v>0</v>
      </c>
      <c r="P73" s="249">
        <f>+'Zał.1_WPF_bazowy'!P66</f>
        <v>0</v>
      </c>
      <c r="Q73" s="249">
        <f>+'Zał.1_WPF_bazowy'!Q66</f>
        <v>0</v>
      </c>
      <c r="R73" s="249" t="e">
        <f>+'Zał.1_WPF_bazowy'!#REF!</f>
        <v>#REF!</v>
      </c>
      <c r="S73" s="249" t="e">
        <f>+'Zał.1_WPF_bazowy'!#REF!</f>
        <v>#REF!</v>
      </c>
      <c r="T73" s="249" t="e">
        <f>+'Zał.1_WPF_bazowy'!#REF!</f>
        <v>#REF!</v>
      </c>
      <c r="U73" s="249" t="e">
        <f>+'Zał.1_WPF_bazowy'!#REF!</f>
        <v>#REF!</v>
      </c>
      <c r="V73" s="249" t="e">
        <f>+'Zał.1_WPF_bazowy'!#REF!</f>
        <v>#REF!</v>
      </c>
      <c r="W73" s="249" t="e">
        <f>+'Zał.1_WPF_bazowy'!#REF!</f>
        <v>#REF!</v>
      </c>
      <c r="X73" s="249" t="e">
        <f>+'Zał.1_WPF_bazowy'!#REF!</f>
        <v>#REF!</v>
      </c>
      <c r="Y73" s="249" t="e">
        <f>+'Zał.1_WPF_bazowy'!#REF!</f>
        <v>#REF!</v>
      </c>
      <c r="Z73" s="249" t="e">
        <f>+'Zał.1_WPF_bazowy'!#REF!</f>
        <v>#REF!</v>
      </c>
      <c r="AA73" s="249" t="e">
        <f>+'Zał.1_WPF_bazowy'!#REF!</f>
        <v>#REF!</v>
      </c>
      <c r="AB73" s="249" t="e">
        <f>+'Zał.1_WPF_bazowy'!#REF!</f>
        <v>#REF!</v>
      </c>
      <c r="AC73" s="249" t="e">
        <f>+'Zał.1_WPF_bazowy'!#REF!</f>
        <v>#REF!</v>
      </c>
      <c r="AD73" s="249" t="e">
        <f>+'Zał.1_WPF_bazowy'!#REF!</f>
        <v>#REF!</v>
      </c>
      <c r="AE73" s="249" t="e">
        <f>+'Zał.1_WPF_bazowy'!#REF!</f>
        <v>#REF!</v>
      </c>
      <c r="AF73" s="249" t="e">
        <f>+'Zał.1_WPF_bazowy'!#REF!</f>
        <v>#REF!</v>
      </c>
      <c r="AG73" s="249" t="e">
        <f>+'Zał.1_WPF_bazowy'!#REF!</f>
        <v>#REF!</v>
      </c>
      <c r="AH73" s="249" t="e">
        <f>+'Zał.1_WPF_bazowy'!#REF!</f>
        <v>#REF!</v>
      </c>
      <c r="AI73" s="249" t="e">
        <f>+'Zał.1_WPF_bazowy'!#REF!</f>
        <v>#REF!</v>
      </c>
      <c r="AJ73" s="249" t="e">
        <f>+'Zał.1_WPF_bazowy'!#REF!</f>
        <v>#REF!</v>
      </c>
      <c r="AK73" s="249" t="e">
        <f>+'Zał.1_WPF_bazowy'!#REF!</f>
        <v>#REF!</v>
      </c>
      <c r="AL73" s="250" t="e">
        <f>+'Zał.1_WPF_bazowy'!#REF!</f>
        <v>#REF!</v>
      </c>
    </row>
    <row r="74" spans="1:38" s="241" customFormat="1" ht="24" outlineLevel="1">
      <c r="A74" s="1"/>
      <c r="B74" s="233">
        <v>12</v>
      </c>
      <c r="C74" s="234"/>
      <c r="D74" s="235" t="s">
        <v>172</v>
      </c>
      <c r="E74" s="266" t="s">
        <v>8</v>
      </c>
      <c r="F74" s="267" t="s">
        <v>8</v>
      </c>
      <c r="G74" s="267" t="s">
        <v>8</v>
      </c>
      <c r="H74" s="268" t="s">
        <v>8</v>
      </c>
      <c r="I74" s="269" t="s">
        <v>8</v>
      </c>
      <c r="J74" s="270" t="s">
        <v>8</v>
      </c>
      <c r="K74" s="270" t="s">
        <v>8</v>
      </c>
      <c r="L74" s="270" t="s">
        <v>8</v>
      </c>
      <c r="M74" s="270" t="s">
        <v>8</v>
      </c>
      <c r="N74" s="270" t="s">
        <v>8</v>
      </c>
      <c r="O74" s="270" t="s">
        <v>8</v>
      </c>
      <c r="P74" s="270" t="s">
        <v>8</v>
      </c>
      <c r="Q74" s="270" t="s">
        <v>8</v>
      </c>
      <c r="R74" s="270" t="s">
        <v>8</v>
      </c>
      <c r="S74" s="270" t="s">
        <v>8</v>
      </c>
      <c r="T74" s="270" t="s">
        <v>8</v>
      </c>
      <c r="U74" s="270" t="s">
        <v>8</v>
      </c>
      <c r="V74" s="270" t="s">
        <v>8</v>
      </c>
      <c r="W74" s="270" t="s">
        <v>8</v>
      </c>
      <c r="X74" s="270" t="s">
        <v>8</v>
      </c>
      <c r="Y74" s="270" t="s">
        <v>8</v>
      </c>
      <c r="Z74" s="270" t="s">
        <v>8</v>
      </c>
      <c r="AA74" s="270" t="s">
        <v>8</v>
      </c>
      <c r="AB74" s="270" t="s">
        <v>8</v>
      </c>
      <c r="AC74" s="270" t="s">
        <v>8</v>
      </c>
      <c r="AD74" s="270" t="s">
        <v>8</v>
      </c>
      <c r="AE74" s="270" t="s">
        <v>8</v>
      </c>
      <c r="AF74" s="270" t="s">
        <v>8</v>
      </c>
      <c r="AG74" s="270" t="s">
        <v>8</v>
      </c>
      <c r="AH74" s="270" t="s">
        <v>8</v>
      </c>
      <c r="AI74" s="270" t="s">
        <v>8</v>
      </c>
      <c r="AJ74" s="270" t="s">
        <v>8</v>
      </c>
      <c r="AK74" s="270" t="s">
        <v>8</v>
      </c>
      <c r="AL74" s="271" t="s">
        <v>8</v>
      </c>
    </row>
    <row r="75" spans="1:38" ht="24" outlineLevel="2">
      <c r="A75" s="1"/>
      <c r="B75" s="242" t="s">
        <v>173</v>
      </c>
      <c r="C75" s="243"/>
      <c r="D75" s="244" t="s">
        <v>175</v>
      </c>
      <c r="E75" s="245">
        <f>'Zał.1_WPF_bazowy'!E68</f>
        <v>1650681.03</v>
      </c>
      <c r="F75" s="246">
        <f>'Zał.1_WPF_bazowy'!F68</f>
        <v>2512141.17</v>
      </c>
      <c r="G75" s="246">
        <f>'Zał.1_WPF_bazowy'!G68</f>
        <v>1035267.09</v>
      </c>
      <c r="H75" s="247">
        <f>'Zał.1_WPF_bazowy'!H68</f>
        <v>442102.38</v>
      </c>
      <c r="I75" s="248">
        <f>+'Zał.1_WPF_bazowy'!I68</f>
        <v>498545.75</v>
      </c>
      <c r="J75" s="249">
        <f>+'Zał.1_WPF_bazowy'!J68</f>
        <v>0</v>
      </c>
      <c r="K75" s="249">
        <f>+'Zał.1_WPF_bazowy'!K68</f>
        <v>0</v>
      </c>
      <c r="L75" s="249">
        <f>+'Zał.1_WPF_bazowy'!L68</f>
        <v>0</v>
      </c>
      <c r="M75" s="249">
        <f>+'Zał.1_WPF_bazowy'!M68</f>
        <v>0</v>
      </c>
      <c r="N75" s="249">
        <f>+'Zał.1_WPF_bazowy'!N68</f>
        <v>0</v>
      </c>
      <c r="O75" s="249">
        <f>+'Zał.1_WPF_bazowy'!O68</f>
        <v>0</v>
      </c>
      <c r="P75" s="249">
        <f>+'Zał.1_WPF_bazowy'!P68</f>
        <v>0</v>
      </c>
      <c r="Q75" s="249">
        <f>+'Zał.1_WPF_bazowy'!Q68</f>
        <v>0</v>
      </c>
      <c r="R75" s="249" t="e">
        <f>+'Zał.1_WPF_bazowy'!#REF!</f>
        <v>#REF!</v>
      </c>
      <c r="S75" s="249" t="e">
        <f>+'Zał.1_WPF_bazowy'!#REF!</f>
        <v>#REF!</v>
      </c>
      <c r="T75" s="249" t="e">
        <f>+'Zał.1_WPF_bazowy'!#REF!</f>
        <v>#REF!</v>
      </c>
      <c r="U75" s="249" t="e">
        <f>+'Zał.1_WPF_bazowy'!#REF!</f>
        <v>#REF!</v>
      </c>
      <c r="V75" s="249" t="e">
        <f>+'Zał.1_WPF_bazowy'!#REF!</f>
        <v>#REF!</v>
      </c>
      <c r="W75" s="249" t="e">
        <f>+'Zał.1_WPF_bazowy'!#REF!</f>
        <v>#REF!</v>
      </c>
      <c r="X75" s="249" t="e">
        <f>+'Zał.1_WPF_bazowy'!#REF!</f>
        <v>#REF!</v>
      </c>
      <c r="Y75" s="249" t="e">
        <f>+'Zał.1_WPF_bazowy'!#REF!</f>
        <v>#REF!</v>
      </c>
      <c r="Z75" s="249" t="e">
        <f>+'Zał.1_WPF_bazowy'!#REF!</f>
        <v>#REF!</v>
      </c>
      <c r="AA75" s="249" t="e">
        <f>+'Zał.1_WPF_bazowy'!#REF!</f>
        <v>#REF!</v>
      </c>
      <c r="AB75" s="249" t="e">
        <f>+'Zał.1_WPF_bazowy'!#REF!</f>
        <v>#REF!</v>
      </c>
      <c r="AC75" s="249" t="e">
        <f>+'Zał.1_WPF_bazowy'!#REF!</f>
        <v>#REF!</v>
      </c>
      <c r="AD75" s="249" t="e">
        <f>+'Zał.1_WPF_bazowy'!#REF!</f>
        <v>#REF!</v>
      </c>
      <c r="AE75" s="249" t="e">
        <f>+'Zał.1_WPF_bazowy'!#REF!</f>
        <v>#REF!</v>
      </c>
      <c r="AF75" s="249" t="e">
        <f>+'Zał.1_WPF_bazowy'!#REF!</f>
        <v>#REF!</v>
      </c>
      <c r="AG75" s="249" t="e">
        <f>+'Zał.1_WPF_bazowy'!#REF!</f>
        <v>#REF!</v>
      </c>
      <c r="AH75" s="249" t="e">
        <f>+'Zał.1_WPF_bazowy'!#REF!</f>
        <v>#REF!</v>
      </c>
      <c r="AI75" s="249" t="e">
        <f>+'Zał.1_WPF_bazowy'!#REF!</f>
        <v>#REF!</v>
      </c>
      <c r="AJ75" s="249" t="e">
        <f>+'Zał.1_WPF_bazowy'!#REF!</f>
        <v>#REF!</v>
      </c>
      <c r="AK75" s="249" t="e">
        <f>+'Zał.1_WPF_bazowy'!#REF!</f>
        <v>#REF!</v>
      </c>
      <c r="AL75" s="250" t="e">
        <f>+'Zał.1_WPF_bazowy'!#REF!</f>
        <v>#REF!</v>
      </c>
    </row>
    <row r="76" spans="1:38" ht="14.25" outlineLevel="2">
      <c r="A76" s="1"/>
      <c r="B76" s="242" t="s">
        <v>176</v>
      </c>
      <c r="C76" s="243"/>
      <c r="D76" s="251" t="s">
        <v>178</v>
      </c>
      <c r="E76" s="245">
        <f>'Zał.1_WPF_bazowy'!E69</f>
        <v>1484838.58</v>
      </c>
      <c r="F76" s="246">
        <f>'Zał.1_WPF_bazowy'!F69</f>
        <v>2271968.91</v>
      </c>
      <c r="G76" s="246">
        <f>'Zał.1_WPF_bazowy'!G69</f>
        <v>911911.76</v>
      </c>
      <c r="H76" s="247">
        <f>'Zał.1_WPF_bazowy'!H69</f>
        <v>400393.51</v>
      </c>
      <c r="I76" s="248">
        <f>+'Zał.1_WPF_bazowy'!I69</f>
        <v>434833.41</v>
      </c>
      <c r="J76" s="249">
        <f>+'Zał.1_WPF_bazowy'!J69</f>
        <v>0</v>
      </c>
      <c r="K76" s="249">
        <f>+'Zał.1_WPF_bazowy'!K69</f>
        <v>0</v>
      </c>
      <c r="L76" s="249">
        <f>+'Zał.1_WPF_bazowy'!L69</f>
        <v>0</v>
      </c>
      <c r="M76" s="249">
        <f>+'Zał.1_WPF_bazowy'!M69</f>
        <v>0</v>
      </c>
      <c r="N76" s="249">
        <f>+'Zał.1_WPF_bazowy'!N69</f>
        <v>0</v>
      </c>
      <c r="O76" s="249">
        <f>+'Zał.1_WPF_bazowy'!O69</f>
        <v>0</v>
      </c>
      <c r="P76" s="249">
        <f>+'Zał.1_WPF_bazowy'!P69</f>
        <v>0</v>
      </c>
      <c r="Q76" s="249">
        <f>+'Zał.1_WPF_bazowy'!Q69</f>
        <v>0</v>
      </c>
      <c r="R76" s="249" t="e">
        <f>+'Zał.1_WPF_bazowy'!#REF!</f>
        <v>#REF!</v>
      </c>
      <c r="S76" s="249" t="e">
        <f>+'Zał.1_WPF_bazowy'!#REF!</f>
        <v>#REF!</v>
      </c>
      <c r="T76" s="249" t="e">
        <f>+'Zał.1_WPF_bazowy'!#REF!</f>
        <v>#REF!</v>
      </c>
      <c r="U76" s="249" t="e">
        <f>+'Zał.1_WPF_bazowy'!#REF!</f>
        <v>#REF!</v>
      </c>
      <c r="V76" s="249" t="e">
        <f>+'Zał.1_WPF_bazowy'!#REF!</f>
        <v>#REF!</v>
      </c>
      <c r="W76" s="249" t="e">
        <f>+'Zał.1_WPF_bazowy'!#REF!</f>
        <v>#REF!</v>
      </c>
      <c r="X76" s="249" t="e">
        <f>+'Zał.1_WPF_bazowy'!#REF!</f>
        <v>#REF!</v>
      </c>
      <c r="Y76" s="249" t="e">
        <f>+'Zał.1_WPF_bazowy'!#REF!</f>
        <v>#REF!</v>
      </c>
      <c r="Z76" s="249" t="e">
        <f>+'Zał.1_WPF_bazowy'!#REF!</f>
        <v>#REF!</v>
      </c>
      <c r="AA76" s="249" t="e">
        <f>+'Zał.1_WPF_bazowy'!#REF!</f>
        <v>#REF!</v>
      </c>
      <c r="AB76" s="249" t="e">
        <f>+'Zał.1_WPF_bazowy'!#REF!</f>
        <v>#REF!</v>
      </c>
      <c r="AC76" s="249" t="e">
        <f>+'Zał.1_WPF_bazowy'!#REF!</f>
        <v>#REF!</v>
      </c>
      <c r="AD76" s="249" t="e">
        <f>+'Zał.1_WPF_bazowy'!#REF!</f>
        <v>#REF!</v>
      </c>
      <c r="AE76" s="249" t="e">
        <f>+'Zał.1_WPF_bazowy'!#REF!</f>
        <v>#REF!</v>
      </c>
      <c r="AF76" s="249" t="e">
        <f>+'Zał.1_WPF_bazowy'!#REF!</f>
        <v>#REF!</v>
      </c>
      <c r="AG76" s="249" t="e">
        <f>+'Zał.1_WPF_bazowy'!#REF!</f>
        <v>#REF!</v>
      </c>
      <c r="AH76" s="249" t="e">
        <f>+'Zał.1_WPF_bazowy'!#REF!</f>
        <v>#REF!</v>
      </c>
      <c r="AI76" s="249" t="e">
        <f>+'Zał.1_WPF_bazowy'!#REF!</f>
        <v>#REF!</v>
      </c>
      <c r="AJ76" s="249" t="e">
        <f>+'Zał.1_WPF_bazowy'!#REF!</f>
        <v>#REF!</v>
      </c>
      <c r="AK76" s="249" t="e">
        <f>+'Zał.1_WPF_bazowy'!#REF!</f>
        <v>#REF!</v>
      </c>
      <c r="AL76" s="250" t="e">
        <f>+'Zał.1_WPF_bazowy'!#REF!</f>
        <v>#REF!</v>
      </c>
    </row>
    <row r="77" spans="1:38" ht="24" outlineLevel="2">
      <c r="A77" s="1"/>
      <c r="B77" s="242" t="s">
        <v>179</v>
      </c>
      <c r="C77" s="243"/>
      <c r="D77" s="252" t="s">
        <v>181</v>
      </c>
      <c r="E77" s="245">
        <f>'Zał.1_WPF_bazowy'!E70</f>
        <v>1484838.58</v>
      </c>
      <c r="F77" s="246">
        <f>'Zał.1_WPF_bazowy'!F70</f>
        <v>2271968.91</v>
      </c>
      <c r="G77" s="246">
        <f>'Zał.1_WPF_bazowy'!G70</f>
        <v>911911.76</v>
      </c>
      <c r="H77" s="247">
        <f>'Zał.1_WPF_bazowy'!H70</f>
        <v>400393.51</v>
      </c>
      <c r="I77" s="248">
        <f>+'Zał.1_WPF_bazowy'!I70</f>
        <v>434833.41</v>
      </c>
      <c r="J77" s="249">
        <f>+'Zał.1_WPF_bazowy'!J70</f>
        <v>0</v>
      </c>
      <c r="K77" s="249">
        <f>+'Zał.1_WPF_bazowy'!K70</f>
        <v>0</v>
      </c>
      <c r="L77" s="249">
        <f>+'Zał.1_WPF_bazowy'!L70</f>
        <v>0</v>
      </c>
      <c r="M77" s="249">
        <f>+'Zał.1_WPF_bazowy'!M70</f>
        <v>0</v>
      </c>
      <c r="N77" s="249">
        <f>+'Zał.1_WPF_bazowy'!N70</f>
        <v>0</v>
      </c>
      <c r="O77" s="249">
        <f>+'Zał.1_WPF_bazowy'!O70</f>
        <v>0</v>
      </c>
      <c r="P77" s="249">
        <f>+'Zał.1_WPF_bazowy'!P70</f>
        <v>0</v>
      </c>
      <c r="Q77" s="249">
        <f>+'Zał.1_WPF_bazowy'!Q70</f>
        <v>0</v>
      </c>
      <c r="R77" s="249" t="e">
        <f>+'Zał.1_WPF_bazowy'!#REF!</f>
        <v>#REF!</v>
      </c>
      <c r="S77" s="249" t="e">
        <f>+'Zał.1_WPF_bazowy'!#REF!</f>
        <v>#REF!</v>
      </c>
      <c r="T77" s="249" t="e">
        <f>+'Zał.1_WPF_bazowy'!#REF!</f>
        <v>#REF!</v>
      </c>
      <c r="U77" s="249" t="e">
        <f>+'Zał.1_WPF_bazowy'!#REF!</f>
        <v>#REF!</v>
      </c>
      <c r="V77" s="249" t="e">
        <f>+'Zał.1_WPF_bazowy'!#REF!</f>
        <v>#REF!</v>
      </c>
      <c r="W77" s="249" t="e">
        <f>+'Zał.1_WPF_bazowy'!#REF!</f>
        <v>#REF!</v>
      </c>
      <c r="X77" s="249" t="e">
        <f>+'Zał.1_WPF_bazowy'!#REF!</f>
        <v>#REF!</v>
      </c>
      <c r="Y77" s="249" t="e">
        <f>+'Zał.1_WPF_bazowy'!#REF!</f>
        <v>#REF!</v>
      </c>
      <c r="Z77" s="249" t="e">
        <f>+'Zał.1_WPF_bazowy'!#REF!</f>
        <v>#REF!</v>
      </c>
      <c r="AA77" s="249" t="e">
        <f>+'Zał.1_WPF_bazowy'!#REF!</f>
        <v>#REF!</v>
      </c>
      <c r="AB77" s="249" t="e">
        <f>+'Zał.1_WPF_bazowy'!#REF!</f>
        <v>#REF!</v>
      </c>
      <c r="AC77" s="249" t="e">
        <f>+'Zał.1_WPF_bazowy'!#REF!</f>
        <v>#REF!</v>
      </c>
      <c r="AD77" s="249" t="e">
        <f>+'Zał.1_WPF_bazowy'!#REF!</f>
        <v>#REF!</v>
      </c>
      <c r="AE77" s="249" t="e">
        <f>+'Zał.1_WPF_bazowy'!#REF!</f>
        <v>#REF!</v>
      </c>
      <c r="AF77" s="249" t="e">
        <f>+'Zał.1_WPF_bazowy'!#REF!</f>
        <v>#REF!</v>
      </c>
      <c r="AG77" s="249" t="e">
        <f>+'Zał.1_WPF_bazowy'!#REF!</f>
        <v>#REF!</v>
      </c>
      <c r="AH77" s="249" t="e">
        <f>+'Zał.1_WPF_bazowy'!#REF!</f>
        <v>#REF!</v>
      </c>
      <c r="AI77" s="249" t="e">
        <f>+'Zał.1_WPF_bazowy'!#REF!</f>
        <v>#REF!</v>
      </c>
      <c r="AJ77" s="249" t="e">
        <f>+'Zał.1_WPF_bazowy'!#REF!</f>
        <v>#REF!</v>
      </c>
      <c r="AK77" s="249" t="e">
        <f>+'Zał.1_WPF_bazowy'!#REF!</f>
        <v>#REF!</v>
      </c>
      <c r="AL77" s="250" t="e">
        <f>+'Zał.1_WPF_bazowy'!#REF!</f>
        <v>#REF!</v>
      </c>
    </row>
    <row r="78" spans="1:38" ht="24" outlineLevel="2">
      <c r="A78" s="1"/>
      <c r="B78" s="242" t="s">
        <v>182</v>
      </c>
      <c r="C78" s="243"/>
      <c r="D78" s="244" t="s">
        <v>184</v>
      </c>
      <c r="E78" s="245">
        <f>'Zał.1_WPF_bazowy'!E71</f>
        <v>2951853.09</v>
      </c>
      <c r="F78" s="246">
        <f>'Zał.1_WPF_bazowy'!F71</f>
        <v>2340381.75</v>
      </c>
      <c r="G78" s="246">
        <f>'Zał.1_WPF_bazowy'!G71</f>
        <v>83947.5</v>
      </c>
      <c r="H78" s="247">
        <f>'Zał.1_WPF_bazowy'!H71</f>
        <v>83947.5</v>
      </c>
      <c r="I78" s="248">
        <f>+'Zał.1_WPF_bazowy'!I71</f>
        <v>691664.53</v>
      </c>
      <c r="J78" s="249">
        <f>+'Zał.1_WPF_bazowy'!J71</f>
        <v>0</v>
      </c>
      <c r="K78" s="249">
        <f>+'Zał.1_WPF_bazowy'!K71</f>
        <v>0</v>
      </c>
      <c r="L78" s="249">
        <f>+'Zał.1_WPF_bazowy'!L71</f>
        <v>0</v>
      </c>
      <c r="M78" s="249">
        <f>+'Zał.1_WPF_bazowy'!M71</f>
        <v>0</v>
      </c>
      <c r="N78" s="249">
        <f>+'Zał.1_WPF_bazowy'!N71</f>
        <v>0</v>
      </c>
      <c r="O78" s="249">
        <f>+'Zał.1_WPF_bazowy'!O71</f>
        <v>0</v>
      </c>
      <c r="P78" s="249">
        <f>+'Zał.1_WPF_bazowy'!P71</f>
        <v>0</v>
      </c>
      <c r="Q78" s="249">
        <f>+'Zał.1_WPF_bazowy'!Q71</f>
        <v>0</v>
      </c>
      <c r="R78" s="249" t="e">
        <f>+'Zał.1_WPF_bazowy'!#REF!</f>
        <v>#REF!</v>
      </c>
      <c r="S78" s="249" t="e">
        <f>+'Zał.1_WPF_bazowy'!#REF!</f>
        <v>#REF!</v>
      </c>
      <c r="T78" s="249" t="e">
        <f>+'Zał.1_WPF_bazowy'!#REF!</f>
        <v>#REF!</v>
      </c>
      <c r="U78" s="249" t="e">
        <f>+'Zał.1_WPF_bazowy'!#REF!</f>
        <v>#REF!</v>
      </c>
      <c r="V78" s="249" t="e">
        <f>+'Zał.1_WPF_bazowy'!#REF!</f>
        <v>#REF!</v>
      </c>
      <c r="W78" s="249" t="e">
        <f>+'Zał.1_WPF_bazowy'!#REF!</f>
        <v>#REF!</v>
      </c>
      <c r="X78" s="249" t="e">
        <f>+'Zał.1_WPF_bazowy'!#REF!</f>
        <v>#REF!</v>
      </c>
      <c r="Y78" s="249" t="e">
        <f>+'Zał.1_WPF_bazowy'!#REF!</f>
        <v>#REF!</v>
      </c>
      <c r="Z78" s="249" t="e">
        <f>+'Zał.1_WPF_bazowy'!#REF!</f>
        <v>#REF!</v>
      </c>
      <c r="AA78" s="249" t="e">
        <f>+'Zał.1_WPF_bazowy'!#REF!</f>
        <v>#REF!</v>
      </c>
      <c r="AB78" s="249" t="e">
        <f>+'Zał.1_WPF_bazowy'!#REF!</f>
        <v>#REF!</v>
      </c>
      <c r="AC78" s="249" t="e">
        <f>+'Zał.1_WPF_bazowy'!#REF!</f>
        <v>#REF!</v>
      </c>
      <c r="AD78" s="249" t="e">
        <f>+'Zał.1_WPF_bazowy'!#REF!</f>
        <v>#REF!</v>
      </c>
      <c r="AE78" s="249" t="e">
        <f>+'Zał.1_WPF_bazowy'!#REF!</f>
        <v>#REF!</v>
      </c>
      <c r="AF78" s="249" t="e">
        <f>+'Zał.1_WPF_bazowy'!#REF!</f>
        <v>#REF!</v>
      </c>
      <c r="AG78" s="249" t="e">
        <f>+'Zał.1_WPF_bazowy'!#REF!</f>
        <v>#REF!</v>
      </c>
      <c r="AH78" s="249" t="e">
        <f>+'Zał.1_WPF_bazowy'!#REF!</f>
        <v>#REF!</v>
      </c>
      <c r="AI78" s="249" t="e">
        <f>+'Zał.1_WPF_bazowy'!#REF!</f>
        <v>#REF!</v>
      </c>
      <c r="AJ78" s="249" t="e">
        <f>+'Zał.1_WPF_bazowy'!#REF!</f>
        <v>#REF!</v>
      </c>
      <c r="AK78" s="249" t="e">
        <f>+'Zał.1_WPF_bazowy'!#REF!</f>
        <v>#REF!</v>
      </c>
      <c r="AL78" s="250" t="e">
        <f>+'Zał.1_WPF_bazowy'!#REF!</f>
        <v>#REF!</v>
      </c>
    </row>
    <row r="79" spans="1:38" ht="14.25" outlineLevel="2">
      <c r="A79" s="1"/>
      <c r="B79" s="242" t="s">
        <v>185</v>
      </c>
      <c r="C79" s="243"/>
      <c r="D79" s="251" t="s">
        <v>178</v>
      </c>
      <c r="E79" s="245">
        <f>'Zał.1_WPF_bazowy'!E72</f>
        <v>2897484.54</v>
      </c>
      <c r="F79" s="246">
        <f>'Zał.1_WPF_bazowy'!F72</f>
        <v>2339496.15</v>
      </c>
      <c r="G79" s="246">
        <f>'Zał.1_WPF_bazowy'!G72</f>
        <v>83947.5</v>
      </c>
      <c r="H79" s="247">
        <f>'Zał.1_WPF_bazowy'!H72</f>
        <v>83947.5</v>
      </c>
      <c r="I79" s="248">
        <f>+'Zał.1_WPF_bazowy'!I72</f>
        <v>691664.53</v>
      </c>
      <c r="J79" s="249">
        <f>+'Zał.1_WPF_bazowy'!J72</f>
        <v>0</v>
      </c>
      <c r="K79" s="249">
        <f>+'Zał.1_WPF_bazowy'!K72</f>
        <v>0</v>
      </c>
      <c r="L79" s="249">
        <f>+'Zał.1_WPF_bazowy'!L72</f>
        <v>0</v>
      </c>
      <c r="M79" s="249">
        <f>+'Zał.1_WPF_bazowy'!M72</f>
        <v>0</v>
      </c>
      <c r="N79" s="249">
        <f>+'Zał.1_WPF_bazowy'!N72</f>
        <v>0</v>
      </c>
      <c r="O79" s="249">
        <f>+'Zał.1_WPF_bazowy'!O72</f>
        <v>0</v>
      </c>
      <c r="P79" s="249">
        <f>+'Zał.1_WPF_bazowy'!P72</f>
        <v>0</v>
      </c>
      <c r="Q79" s="249">
        <f>+'Zał.1_WPF_bazowy'!Q72</f>
        <v>0</v>
      </c>
      <c r="R79" s="249" t="e">
        <f>+'Zał.1_WPF_bazowy'!#REF!</f>
        <v>#REF!</v>
      </c>
      <c r="S79" s="249" t="e">
        <f>+'Zał.1_WPF_bazowy'!#REF!</f>
        <v>#REF!</v>
      </c>
      <c r="T79" s="249" t="e">
        <f>+'Zał.1_WPF_bazowy'!#REF!</f>
        <v>#REF!</v>
      </c>
      <c r="U79" s="249" t="e">
        <f>+'Zał.1_WPF_bazowy'!#REF!</f>
        <v>#REF!</v>
      </c>
      <c r="V79" s="249" t="e">
        <f>+'Zał.1_WPF_bazowy'!#REF!</f>
        <v>#REF!</v>
      </c>
      <c r="W79" s="249" t="e">
        <f>+'Zał.1_WPF_bazowy'!#REF!</f>
        <v>#REF!</v>
      </c>
      <c r="X79" s="249" t="e">
        <f>+'Zał.1_WPF_bazowy'!#REF!</f>
        <v>#REF!</v>
      </c>
      <c r="Y79" s="249" t="e">
        <f>+'Zał.1_WPF_bazowy'!#REF!</f>
        <v>#REF!</v>
      </c>
      <c r="Z79" s="249" t="e">
        <f>+'Zał.1_WPF_bazowy'!#REF!</f>
        <v>#REF!</v>
      </c>
      <c r="AA79" s="249" t="e">
        <f>+'Zał.1_WPF_bazowy'!#REF!</f>
        <v>#REF!</v>
      </c>
      <c r="AB79" s="249" t="e">
        <f>+'Zał.1_WPF_bazowy'!#REF!</f>
        <v>#REF!</v>
      </c>
      <c r="AC79" s="249" t="e">
        <f>+'Zał.1_WPF_bazowy'!#REF!</f>
        <v>#REF!</v>
      </c>
      <c r="AD79" s="249" t="e">
        <f>+'Zał.1_WPF_bazowy'!#REF!</f>
        <v>#REF!</v>
      </c>
      <c r="AE79" s="249" t="e">
        <f>+'Zał.1_WPF_bazowy'!#REF!</f>
        <v>#REF!</v>
      </c>
      <c r="AF79" s="249" t="e">
        <f>+'Zał.1_WPF_bazowy'!#REF!</f>
        <v>#REF!</v>
      </c>
      <c r="AG79" s="249" t="e">
        <f>+'Zał.1_WPF_bazowy'!#REF!</f>
        <v>#REF!</v>
      </c>
      <c r="AH79" s="249" t="e">
        <f>+'Zał.1_WPF_bazowy'!#REF!</f>
        <v>#REF!</v>
      </c>
      <c r="AI79" s="249" t="e">
        <f>+'Zał.1_WPF_bazowy'!#REF!</f>
        <v>#REF!</v>
      </c>
      <c r="AJ79" s="249" t="e">
        <f>+'Zał.1_WPF_bazowy'!#REF!</f>
        <v>#REF!</v>
      </c>
      <c r="AK79" s="249" t="e">
        <f>+'Zał.1_WPF_bazowy'!#REF!</f>
        <v>#REF!</v>
      </c>
      <c r="AL79" s="250" t="e">
        <f>+'Zał.1_WPF_bazowy'!#REF!</f>
        <v>#REF!</v>
      </c>
    </row>
    <row r="80" spans="1:38" ht="24" outlineLevel="2">
      <c r="A80" s="1"/>
      <c r="B80" s="242" t="s">
        <v>187</v>
      </c>
      <c r="C80" s="243"/>
      <c r="D80" s="252" t="s">
        <v>189</v>
      </c>
      <c r="E80" s="245">
        <f>'Zał.1_WPF_bazowy'!E73</f>
        <v>2897484.54</v>
      </c>
      <c r="F80" s="246">
        <f>'Zał.1_WPF_bazowy'!F73</f>
        <v>2339496.15</v>
      </c>
      <c r="G80" s="246">
        <f>'Zał.1_WPF_bazowy'!G73</f>
        <v>83947.5</v>
      </c>
      <c r="H80" s="247">
        <f>'Zał.1_WPF_bazowy'!H73</f>
        <v>83947.5</v>
      </c>
      <c r="I80" s="248">
        <f>+'Zał.1_WPF_bazowy'!I73</f>
        <v>691664.53</v>
      </c>
      <c r="J80" s="249">
        <f>+'Zał.1_WPF_bazowy'!J73</f>
        <v>0</v>
      </c>
      <c r="K80" s="249">
        <f>+'Zał.1_WPF_bazowy'!K73</f>
        <v>0</v>
      </c>
      <c r="L80" s="249">
        <f>+'Zał.1_WPF_bazowy'!L73</f>
        <v>0</v>
      </c>
      <c r="M80" s="249">
        <f>+'Zał.1_WPF_bazowy'!M73</f>
        <v>0</v>
      </c>
      <c r="N80" s="249">
        <f>+'Zał.1_WPF_bazowy'!N73</f>
        <v>0</v>
      </c>
      <c r="O80" s="249">
        <f>+'Zał.1_WPF_bazowy'!O73</f>
        <v>0</v>
      </c>
      <c r="P80" s="249">
        <f>+'Zał.1_WPF_bazowy'!P73</f>
        <v>0</v>
      </c>
      <c r="Q80" s="249">
        <f>+'Zał.1_WPF_bazowy'!Q73</f>
        <v>0</v>
      </c>
      <c r="R80" s="249" t="e">
        <f>+'Zał.1_WPF_bazowy'!#REF!</f>
        <v>#REF!</v>
      </c>
      <c r="S80" s="249" t="e">
        <f>+'Zał.1_WPF_bazowy'!#REF!</f>
        <v>#REF!</v>
      </c>
      <c r="T80" s="249" t="e">
        <f>+'Zał.1_WPF_bazowy'!#REF!</f>
        <v>#REF!</v>
      </c>
      <c r="U80" s="249" t="e">
        <f>+'Zał.1_WPF_bazowy'!#REF!</f>
        <v>#REF!</v>
      </c>
      <c r="V80" s="249" t="e">
        <f>+'Zał.1_WPF_bazowy'!#REF!</f>
        <v>#REF!</v>
      </c>
      <c r="W80" s="249" t="e">
        <f>+'Zał.1_WPF_bazowy'!#REF!</f>
        <v>#REF!</v>
      </c>
      <c r="X80" s="249" t="e">
        <f>+'Zał.1_WPF_bazowy'!#REF!</f>
        <v>#REF!</v>
      </c>
      <c r="Y80" s="249" t="e">
        <f>+'Zał.1_WPF_bazowy'!#REF!</f>
        <v>#REF!</v>
      </c>
      <c r="Z80" s="249" t="e">
        <f>+'Zał.1_WPF_bazowy'!#REF!</f>
        <v>#REF!</v>
      </c>
      <c r="AA80" s="249" t="e">
        <f>+'Zał.1_WPF_bazowy'!#REF!</f>
        <v>#REF!</v>
      </c>
      <c r="AB80" s="249" t="e">
        <f>+'Zał.1_WPF_bazowy'!#REF!</f>
        <v>#REF!</v>
      </c>
      <c r="AC80" s="249" t="e">
        <f>+'Zał.1_WPF_bazowy'!#REF!</f>
        <v>#REF!</v>
      </c>
      <c r="AD80" s="249" t="e">
        <f>+'Zał.1_WPF_bazowy'!#REF!</f>
        <v>#REF!</v>
      </c>
      <c r="AE80" s="249" t="e">
        <f>+'Zał.1_WPF_bazowy'!#REF!</f>
        <v>#REF!</v>
      </c>
      <c r="AF80" s="249" t="e">
        <f>+'Zał.1_WPF_bazowy'!#REF!</f>
        <v>#REF!</v>
      </c>
      <c r="AG80" s="249" t="e">
        <f>+'Zał.1_WPF_bazowy'!#REF!</f>
        <v>#REF!</v>
      </c>
      <c r="AH80" s="249" t="e">
        <f>+'Zał.1_WPF_bazowy'!#REF!</f>
        <v>#REF!</v>
      </c>
      <c r="AI80" s="249" t="e">
        <f>+'Zał.1_WPF_bazowy'!#REF!</f>
        <v>#REF!</v>
      </c>
      <c r="AJ80" s="249" t="e">
        <f>+'Zał.1_WPF_bazowy'!#REF!</f>
        <v>#REF!</v>
      </c>
      <c r="AK80" s="249" t="e">
        <f>+'Zał.1_WPF_bazowy'!#REF!</f>
        <v>#REF!</v>
      </c>
      <c r="AL80" s="250" t="e">
        <f>+'Zał.1_WPF_bazowy'!#REF!</f>
        <v>#REF!</v>
      </c>
    </row>
    <row r="81" spans="1:38" ht="24" outlineLevel="2">
      <c r="A81" s="1"/>
      <c r="B81" s="242" t="s">
        <v>190</v>
      </c>
      <c r="C81" s="243"/>
      <c r="D81" s="244" t="s">
        <v>192</v>
      </c>
      <c r="E81" s="245">
        <f>'Zał.1_WPF_bazowy'!E74</f>
        <v>1714900.4</v>
      </c>
      <c r="F81" s="246">
        <f>'Zał.1_WPF_bazowy'!F74</f>
        <v>2804189.96</v>
      </c>
      <c r="G81" s="246">
        <f>'Zał.1_WPF_bazowy'!G74</f>
        <v>988921.26</v>
      </c>
      <c r="H81" s="247">
        <f>'Zał.1_WPF_bazowy'!H74</f>
        <v>841425.08</v>
      </c>
      <c r="I81" s="248">
        <f>+'Zał.1_WPF_bazowy'!I74</f>
        <v>13250</v>
      </c>
      <c r="J81" s="249">
        <f>+'Zał.1_WPF_bazowy'!J74</f>
        <v>0</v>
      </c>
      <c r="K81" s="249">
        <f>+'Zał.1_WPF_bazowy'!K74</f>
        <v>0</v>
      </c>
      <c r="L81" s="249">
        <f>+'Zał.1_WPF_bazowy'!L74</f>
        <v>0</v>
      </c>
      <c r="M81" s="249">
        <f>+'Zał.1_WPF_bazowy'!M74</f>
        <v>0</v>
      </c>
      <c r="N81" s="249">
        <f>+'Zał.1_WPF_bazowy'!N74</f>
        <v>0</v>
      </c>
      <c r="O81" s="249">
        <f>+'Zał.1_WPF_bazowy'!O74</f>
        <v>0</v>
      </c>
      <c r="P81" s="249">
        <f>+'Zał.1_WPF_bazowy'!P74</f>
        <v>0</v>
      </c>
      <c r="Q81" s="249">
        <f>+'Zał.1_WPF_bazowy'!Q74</f>
        <v>0</v>
      </c>
      <c r="R81" s="249" t="e">
        <f>+'Zał.1_WPF_bazowy'!#REF!</f>
        <v>#REF!</v>
      </c>
      <c r="S81" s="249" t="e">
        <f>+'Zał.1_WPF_bazowy'!#REF!</f>
        <v>#REF!</v>
      </c>
      <c r="T81" s="249" t="e">
        <f>+'Zał.1_WPF_bazowy'!#REF!</f>
        <v>#REF!</v>
      </c>
      <c r="U81" s="249" t="e">
        <f>+'Zał.1_WPF_bazowy'!#REF!</f>
        <v>#REF!</v>
      </c>
      <c r="V81" s="249" t="e">
        <f>+'Zał.1_WPF_bazowy'!#REF!</f>
        <v>#REF!</v>
      </c>
      <c r="W81" s="249" t="e">
        <f>+'Zał.1_WPF_bazowy'!#REF!</f>
        <v>#REF!</v>
      </c>
      <c r="X81" s="249" t="e">
        <f>+'Zał.1_WPF_bazowy'!#REF!</f>
        <v>#REF!</v>
      </c>
      <c r="Y81" s="249" t="e">
        <f>+'Zał.1_WPF_bazowy'!#REF!</f>
        <v>#REF!</v>
      </c>
      <c r="Z81" s="249" t="e">
        <f>+'Zał.1_WPF_bazowy'!#REF!</f>
        <v>#REF!</v>
      </c>
      <c r="AA81" s="249" t="e">
        <f>+'Zał.1_WPF_bazowy'!#REF!</f>
        <v>#REF!</v>
      </c>
      <c r="AB81" s="249" t="e">
        <f>+'Zał.1_WPF_bazowy'!#REF!</f>
        <v>#REF!</v>
      </c>
      <c r="AC81" s="249" t="e">
        <f>+'Zał.1_WPF_bazowy'!#REF!</f>
        <v>#REF!</v>
      </c>
      <c r="AD81" s="249" t="e">
        <f>+'Zał.1_WPF_bazowy'!#REF!</f>
        <v>#REF!</v>
      </c>
      <c r="AE81" s="249" t="e">
        <f>+'Zał.1_WPF_bazowy'!#REF!</f>
        <v>#REF!</v>
      </c>
      <c r="AF81" s="249" t="e">
        <f>+'Zał.1_WPF_bazowy'!#REF!</f>
        <v>#REF!</v>
      </c>
      <c r="AG81" s="249" t="e">
        <f>+'Zał.1_WPF_bazowy'!#REF!</f>
        <v>#REF!</v>
      </c>
      <c r="AH81" s="249" t="e">
        <f>+'Zał.1_WPF_bazowy'!#REF!</f>
        <v>#REF!</v>
      </c>
      <c r="AI81" s="249" t="e">
        <f>+'Zał.1_WPF_bazowy'!#REF!</f>
        <v>#REF!</v>
      </c>
      <c r="AJ81" s="249" t="e">
        <f>+'Zał.1_WPF_bazowy'!#REF!</f>
        <v>#REF!</v>
      </c>
      <c r="AK81" s="249" t="e">
        <f>+'Zał.1_WPF_bazowy'!#REF!</f>
        <v>#REF!</v>
      </c>
      <c r="AL81" s="250" t="e">
        <f>+'Zał.1_WPF_bazowy'!#REF!</f>
        <v>#REF!</v>
      </c>
    </row>
    <row r="82" spans="1:38" ht="14.25" outlineLevel="2">
      <c r="A82" s="1"/>
      <c r="B82" s="242" t="s">
        <v>193</v>
      </c>
      <c r="C82" s="243"/>
      <c r="D82" s="251" t="s">
        <v>195</v>
      </c>
      <c r="E82" s="245">
        <f>'Zał.1_WPF_bazowy'!E75</f>
        <v>1466388.17</v>
      </c>
      <c r="F82" s="246">
        <f>'Zał.1_WPF_bazowy'!F75</f>
        <v>2374365.08</v>
      </c>
      <c r="G82" s="246">
        <f>'Zał.1_WPF_bazowy'!G75</f>
        <v>834890.96</v>
      </c>
      <c r="H82" s="247">
        <f>'Zał.1_WPF_bazowy'!H75</f>
        <v>677483.94</v>
      </c>
      <c r="I82" s="248">
        <f>+'Zał.1_WPF_bazowy'!I75</f>
        <v>8771.01</v>
      </c>
      <c r="J82" s="249">
        <f>+'Zał.1_WPF_bazowy'!J75</f>
        <v>0</v>
      </c>
      <c r="K82" s="249">
        <f>+'Zał.1_WPF_bazowy'!K75</f>
        <v>0</v>
      </c>
      <c r="L82" s="249">
        <f>+'Zał.1_WPF_bazowy'!L75</f>
        <v>0</v>
      </c>
      <c r="M82" s="249">
        <f>+'Zał.1_WPF_bazowy'!M75</f>
        <v>0</v>
      </c>
      <c r="N82" s="249">
        <f>+'Zał.1_WPF_bazowy'!N75</f>
        <v>0</v>
      </c>
      <c r="O82" s="249">
        <f>+'Zał.1_WPF_bazowy'!O75</f>
        <v>0</v>
      </c>
      <c r="P82" s="249">
        <f>+'Zał.1_WPF_bazowy'!P75</f>
        <v>0</v>
      </c>
      <c r="Q82" s="249">
        <f>+'Zał.1_WPF_bazowy'!Q75</f>
        <v>0</v>
      </c>
      <c r="R82" s="249" t="e">
        <f>+'Zał.1_WPF_bazowy'!#REF!</f>
        <v>#REF!</v>
      </c>
      <c r="S82" s="249" t="e">
        <f>+'Zał.1_WPF_bazowy'!#REF!</f>
        <v>#REF!</v>
      </c>
      <c r="T82" s="249" t="e">
        <f>+'Zał.1_WPF_bazowy'!#REF!</f>
        <v>#REF!</v>
      </c>
      <c r="U82" s="249" t="e">
        <f>+'Zał.1_WPF_bazowy'!#REF!</f>
        <v>#REF!</v>
      </c>
      <c r="V82" s="249" t="e">
        <f>+'Zał.1_WPF_bazowy'!#REF!</f>
        <v>#REF!</v>
      </c>
      <c r="W82" s="249" t="e">
        <f>+'Zał.1_WPF_bazowy'!#REF!</f>
        <v>#REF!</v>
      </c>
      <c r="X82" s="249" t="e">
        <f>+'Zał.1_WPF_bazowy'!#REF!</f>
        <v>#REF!</v>
      </c>
      <c r="Y82" s="249" t="e">
        <f>+'Zał.1_WPF_bazowy'!#REF!</f>
        <v>#REF!</v>
      </c>
      <c r="Z82" s="249" t="e">
        <f>+'Zał.1_WPF_bazowy'!#REF!</f>
        <v>#REF!</v>
      </c>
      <c r="AA82" s="249" t="e">
        <f>+'Zał.1_WPF_bazowy'!#REF!</f>
        <v>#REF!</v>
      </c>
      <c r="AB82" s="249" t="e">
        <f>+'Zał.1_WPF_bazowy'!#REF!</f>
        <v>#REF!</v>
      </c>
      <c r="AC82" s="249" t="e">
        <f>+'Zał.1_WPF_bazowy'!#REF!</f>
        <v>#REF!</v>
      </c>
      <c r="AD82" s="249" t="e">
        <f>+'Zał.1_WPF_bazowy'!#REF!</f>
        <v>#REF!</v>
      </c>
      <c r="AE82" s="249" t="e">
        <f>+'Zał.1_WPF_bazowy'!#REF!</f>
        <v>#REF!</v>
      </c>
      <c r="AF82" s="249" t="e">
        <f>+'Zał.1_WPF_bazowy'!#REF!</f>
        <v>#REF!</v>
      </c>
      <c r="AG82" s="249" t="e">
        <f>+'Zał.1_WPF_bazowy'!#REF!</f>
        <v>#REF!</v>
      </c>
      <c r="AH82" s="249" t="e">
        <f>+'Zał.1_WPF_bazowy'!#REF!</f>
        <v>#REF!</v>
      </c>
      <c r="AI82" s="249" t="e">
        <f>+'Zał.1_WPF_bazowy'!#REF!</f>
        <v>#REF!</v>
      </c>
      <c r="AJ82" s="249" t="e">
        <f>+'Zał.1_WPF_bazowy'!#REF!</f>
        <v>#REF!</v>
      </c>
      <c r="AK82" s="249" t="e">
        <f>+'Zał.1_WPF_bazowy'!#REF!</f>
        <v>#REF!</v>
      </c>
      <c r="AL82" s="250" t="e">
        <f>+'Zał.1_WPF_bazowy'!#REF!</f>
        <v>#REF!</v>
      </c>
    </row>
    <row r="83" spans="1:38" ht="24" outlineLevel="2">
      <c r="A83" s="1"/>
      <c r="B83" s="242" t="s">
        <v>196</v>
      </c>
      <c r="C83" s="243"/>
      <c r="D83" s="251" t="s">
        <v>198</v>
      </c>
      <c r="E83" s="245">
        <f>'Zał.1_WPF_bazowy'!E76</f>
        <v>1714900.4</v>
      </c>
      <c r="F83" s="246">
        <f>'Zał.1_WPF_bazowy'!F76</f>
        <v>2804189.96</v>
      </c>
      <c r="G83" s="246">
        <f>'Zał.1_WPF_bazowy'!G76</f>
        <v>988921.26</v>
      </c>
      <c r="H83" s="247">
        <f>'Zał.1_WPF_bazowy'!H76</f>
        <v>841425.08</v>
      </c>
      <c r="I83" s="248">
        <f>+'Zał.1_WPF_bazowy'!I76</f>
        <v>13250</v>
      </c>
      <c r="J83" s="249">
        <f>+'Zał.1_WPF_bazowy'!J76</f>
        <v>0</v>
      </c>
      <c r="K83" s="249">
        <f>+'Zał.1_WPF_bazowy'!K76</f>
        <v>0</v>
      </c>
      <c r="L83" s="249">
        <f>+'Zał.1_WPF_bazowy'!L76</f>
        <v>0</v>
      </c>
      <c r="M83" s="249">
        <f>+'Zał.1_WPF_bazowy'!M76</f>
        <v>0</v>
      </c>
      <c r="N83" s="249">
        <f>+'Zał.1_WPF_bazowy'!N76</f>
        <v>0</v>
      </c>
      <c r="O83" s="249">
        <f>+'Zał.1_WPF_bazowy'!O76</f>
        <v>0</v>
      </c>
      <c r="P83" s="249">
        <f>+'Zał.1_WPF_bazowy'!P76</f>
        <v>0</v>
      </c>
      <c r="Q83" s="249">
        <f>+'Zał.1_WPF_bazowy'!Q76</f>
        <v>0</v>
      </c>
      <c r="R83" s="249" t="e">
        <f>+'Zał.1_WPF_bazowy'!#REF!</f>
        <v>#REF!</v>
      </c>
      <c r="S83" s="249" t="e">
        <f>+'Zał.1_WPF_bazowy'!#REF!</f>
        <v>#REF!</v>
      </c>
      <c r="T83" s="249" t="e">
        <f>+'Zał.1_WPF_bazowy'!#REF!</f>
        <v>#REF!</v>
      </c>
      <c r="U83" s="249" t="e">
        <f>+'Zał.1_WPF_bazowy'!#REF!</f>
        <v>#REF!</v>
      </c>
      <c r="V83" s="249" t="e">
        <f>+'Zał.1_WPF_bazowy'!#REF!</f>
        <v>#REF!</v>
      </c>
      <c r="W83" s="249" t="e">
        <f>+'Zał.1_WPF_bazowy'!#REF!</f>
        <v>#REF!</v>
      </c>
      <c r="X83" s="249" t="e">
        <f>+'Zał.1_WPF_bazowy'!#REF!</f>
        <v>#REF!</v>
      </c>
      <c r="Y83" s="249" t="e">
        <f>+'Zał.1_WPF_bazowy'!#REF!</f>
        <v>#REF!</v>
      </c>
      <c r="Z83" s="249" t="e">
        <f>+'Zał.1_WPF_bazowy'!#REF!</f>
        <v>#REF!</v>
      </c>
      <c r="AA83" s="249" t="e">
        <f>+'Zał.1_WPF_bazowy'!#REF!</f>
        <v>#REF!</v>
      </c>
      <c r="AB83" s="249" t="e">
        <f>+'Zał.1_WPF_bazowy'!#REF!</f>
        <v>#REF!</v>
      </c>
      <c r="AC83" s="249" t="e">
        <f>+'Zał.1_WPF_bazowy'!#REF!</f>
        <v>#REF!</v>
      </c>
      <c r="AD83" s="249" t="e">
        <f>+'Zał.1_WPF_bazowy'!#REF!</f>
        <v>#REF!</v>
      </c>
      <c r="AE83" s="249" t="e">
        <f>+'Zał.1_WPF_bazowy'!#REF!</f>
        <v>#REF!</v>
      </c>
      <c r="AF83" s="249" t="e">
        <f>+'Zał.1_WPF_bazowy'!#REF!</f>
        <v>#REF!</v>
      </c>
      <c r="AG83" s="249" t="e">
        <f>+'Zał.1_WPF_bazowy'!#REF!</f>
        <v>#REF!</v>
      </c>
      <c r="AH83" s="249" t="e">
        <f>+'Zał.1_WPF_bazowy'!#REF!</f>
        <v>#REF!</v>
      </c>
      <c r="AI83" s="249" t="e">
        <f>+'Zał.1_WPF_bazowy'!#REF!</f>
        <v>#REF!</v>
      </c>
      <c r="AJ83" s="249" t="e">
        <f>+'Zał.1_WPF_bazowy'!#REF!</f>
        <v>#REF!</v>
      </c>
      <c r="AK83" s="249" t="e">
        <f>+'Zał.1_WPF_bazowy'!#REF!</f>
        <v>#REF!</v>
      </c>
      <c r="AL83" s="250" t="e">
        <f>+'Zał.1_WPF_bazowy'!#REF!</f>
        <v>#REF!</v>
      </c>
    </row>
    <row r="84" spans="1:38" ht="24" outlineLevel="2">
      <c r="A84" s="1"/>
      <c r="B84" s="242" t="s">
        <v>199</v>
      </c>
      <c r="C84" s="243"/>
      <c r="D84" s="244" t="s">
        <v>201</v>
      </c>
      <c r="E84" s="245">
        <f>'Zał.1_WPF_bazowy'!E77</f>
        <v>579470.19</v>
      </c>
      <c r="F84" s="246">
        <f>'Zał.1_WPF_bazowy'!F77</f>
        <v>191094</v>
      </c>
      <c r="G84" s="246">
        <f>'Zał.1_WPF_bazowy'!G77</f>
        <v>27150</v>
      </c>
      <c r="H84" s="247">
        <f>'Zał.1_WPF_bazowy'!H77</f>
        <v>27120</v>
      </c>
      <c r="I84" s="248">
        <f>+'Zał.1_WPF_bazowy'!I77</f>
        <v>0</v>
      </c>
      <c r="J84" s="249">
        <f>+'Zał.1_WPF_bazowy'!J77</f>
        <v>0</v>
      </c>
      <c r="K84" s="249">
        <f>+'Zał.1_WPF_bazowy'!K77</f>
        <v>0</v>
      </c>
      <c r="L84" s="249">
        <f>+'Zał.1_WPF_bazowy'!L77</f>
        <v>0</v>
      </c>
      <c r="M84" s="249">
        <f>+'Zał.1_WPF_bazowy'!M77</f>
        <v>0</v>
      </c>
      <c r="N84" s="249">
        <f>+'Zał.1_WPF_bazowy'!N77</f>
        <v>0</v>
      </c>
      <c r="O84" s="249">
        <f>+'Zał.1_WPF_bazowy'!O77</f>
        <v>0</v>
      </c>
      <c r="P84" s="249">
        <f>+'Zał.1_WPF_bazowy'!P77</f>
        <v>0</v>
      </c>
      <c r="Q84" s="249">
        <f>+'Zał.1_WPF_bazowy'!Q77</f>
        <v>0</v>
      </c>
      <c r="R84" s="249" t="e">
        <f>+'Zał.1_WPF_bazowy'!#REF!</f>
        <v>#REF!</v>
      </c>
      <c r="S84" s="249" t="e">
        <f>+'Zał.1_WPF_bazowy'!#REF!</f>
        <v>#REF!</v>
      </c>
      <c r="T84" s="249" t="e">
        <f>+'Zał.1_WPF_bazowy'!#REF!</f>
        <v>#REF!</v>
      </c>
      <c r="U84" s="249" t="e">
        <f>+'Zał.1_WPF_bazowy'!#REF!</f>
        <v>#REF!</v>
      </c>
      <c r="V84" s="249" t="e">
        <f>+'Zał.1_WPF_bazowy'!#REF!</f>
        <v>#REF!</v>
      </c>
      <c r="W84" s="249" t="e">
        <f>+'Zał.1_WPF_bazowy'!#REF!</f>
        <v>#REF!</v>
      </c>
      <c r="X84" s="249" t="e">
        <f>+'Zał.1_WPF_bazowy'!#REF!</f>
        <v>#REF!</v>
      </c>
      <c r="Y84" s="249" t="e">
        <f>+'Zał.1_WPF_bazowy'!#REF!</f>
        <v>#REF!</v>
      </c>
      <c r="Z84" s="249" t="e">
        <f>+'Zał.1_WPF_bazowy'!#REF!</f>
        <v>#REF!</v>
      </c>
      <c r="AA84" s="249" t="e">
        <f>+'Zał.1_WPF_bazowy'!#REF!</f>
        <v>#REF!</v>
      </c>
      <c r="AB84" s="249" t="e">
        <f>+'Zał.1_WPF_bazowy'!#REF!</f>
        <v>#REF!</v>
      </c>
      <c r="AC84" s="249" t="e">
        <f>+'Zał.1_WPF_bazowy'!#REF!</f>
        <v>#REF!</v>
      </c>
      <c r="AD84" s="249" t="e">
        <f>+'Zał.1_WPF_bazowy'!#REF!</f>
        <v>#REF!</v>
      </c>
      <c r="AE84" s="249" t="e">
        <f>+'Zał.1_WPF_bazowy'!#REF!</f>
        <v>#REF!</v>
      </c>
      <c r="AF84" s="249" t="e">
        <f>+'Zał.1_WPF_bazowy'!#REF!</f>
        <v>#REF!</v>
      </c>
      <c r="AG84" s="249" t="e">
        <f>+'Zał.1_WPF_bazowy'!#REF!</f>
        <v>#REF!</v>
      </c>
      <c r="AH84" s="249" t="e">
        <f>+'Zał.1_WPF_bazowy'!#REF!</f>
        <v>#REF!</v>
      </c>
      <c r="AI84" s="249" t="e">
        <f>+'Zał.1_WPF_bazowy'!#REF!</f>
        <v>#REF!</v>
      </c>
      <c r="AJ84" s="249" t="e">
        <f>+'Zał.1_WPF_bazowy'!#REF!</f>
        <v>#REF!</v>
      </c>
      <c r="AK84" s="249" t="e">
        <f>+'Zał.1_WPF_bazowy'!#REF!</f>
        <v>#REF!</v>
      </c>
      <c r="AL84" s="250" t="e">
        <f>+'Zał.1_WPF_bazowy'!#REF!</f>
        <v>#REF!</v>
      </c>
    </row>
    <row r="85" spans="1:38" ht="14.25" outlineLevel="2">
      <c r="A85" s="1"/>
      <c r="B85" s="242" t="s">
        <v>202</v>
      </c>
      <c r="C85" s="243"/>
      <c r="D85" s="251" t="s">
        <v>204</v>
      </c>
      <c r="E85" s="245">
        <f>'Zał.1_WPF_bazowy'!E78</f>
        <v>428821.64</v>
      </c>
      <c r="F85" s="246">
        <f>'Zał.1_WPF_bazowy'!F78</f>
        <v>134139.9</v>
      </c>
      <c r="G85" s="246">
        <f>'Zał.1_WPF_bazowy'!G78</f>
        <v>27150</v>
      </c>
      <c r="H85" s="247">
        <f>'Zał.1_WPF_bazowy'!H78</f>
        <v>27120</v>
      </c>
      <c r="I85" s="248">
        <f>+'Zał.1_WPF_bazowy'!I78</f>
        <v>0</v>
      </c>
      <c r="J85" s="249">
        <f>+'Zał.1_WPF_bazowy'!J78</f>
        <v>0</v>
      </c>
      <c r="K85" s="249">
        <f>+'Zał.1_WPF_bazowy'!K78</f>
        <v>0</v>
      </c>
      <c r="L85" s="249">
        <f>+'Zał.1_WPF_bazowy'!L78</f>
        <v>0</v>
      </c>
      <c r="M85" s="249">
        <f>+'Zał.1_WPF_bazowy'!M78</f>
        <v>0</v>
      </c>
      <c r="N85" s="249">
        <f>+'Zał.1_WPF_bazowy'!N78</f>
        <v>0</v>
      </c>
      <c r="O85" s="249">
        <f>+'Zał.1_WPF_bazowy'!O78</f>
        <v>0</v>
      </c>
      <c r="P85" s="249">
        <f>+'Zał.1_WPF_bazowy'!P78</f>
        <v>0</v>
      </c>
      <c r="Q85" s="249">
        <f>+'Zał.1_WPF_bazowy'!Q78</f>
        <v>0</v>
      </c>
      <c r="R85" s="249" t="e">
        <f>+'Zał.1_WPF_bazowy'!#REF!</f>
        <v>#REF!</v>
      </c>
      <c r="S85" s="249" t="e">
        <f>+'Zał.1_WPF_bazowy'!#REF!</f>
        <v>#REF!</v>
      </c>
      <c r="T85" s="249" t="e">
        <f>+'Zał.1_WPF_bazowy'!#REF!</f>
        <v>#REF!</v>
      </c>
      <c r="U85" s="249" t="e">
        <f>+'Zał.1_WPF_bazowy'!#REF!</f>
        <v>#REF!</v>
      </c>
      <c r="V85" s="249" t="e">
        <f>+'Zał.1_WPF_bazowy'!#REF!</f>
        <v>#REF!</v>
      </c>
      <c r="W85" s="249" t="e">
        <f>+'Zał.1_WPF_bazowy'!#REF!</f>
        <v>#REF!</v>
      </c>
      <c r="X85" s="249" t="e">
        <f>+'Zał.1_WPF_bazowy'!#REF!</f>
        <v>#REF!</v>
      </c>
      <c r="Y85" s="249" t="e">
        <f>+'Zał.1_WPF_bazowy'!#REF!</f>
        <v>#REF!</v>
      </c>
      <c r="Z85" s="249" t="e">
        <f>+'Zał.1_WPF_bazowy'!#REF!</f>
        <v>#REF!</v>
      </c>
      <c r="AA85" s="249" t="e">
        <f>+'Zał.1_WPF_bazowy'!#REF!</f>
        <v>#REF!</v>
      </c>
      <c r="AB85" s="249" t="e">
        <f>+'Zał.1_WPF_bazowy'!#REF!</f>
        <v>#REF!</v>
      </c>
      <c r="AC85" s="249" t="e">
        <f>+'Zał.1_WPF_bazowy'!#REF!</f>
        <v>#REF!</v>
      </c>
      <c r="AD85" s="249" t="e">
        <f>+'Zał.1_WPF_bazowy'!#REF!</f>
        <v>#REF!</v>
      </c>
      <c r="AE85" s="249" t="e">
        <f>+'Zał.1_WPF_bazowy'!#REF!</f>
        <v>#REF!</v>
      </c>
      <c r="AF85" s="249" t="e">
        <f>+'Zał.1_WPF_bazowy'!#REF!</f>
        <v>#REF!</v>
      </c>
      <c r="AG85" s="249" t="e">
        <f>+'Zał.1_WPF_bazowy'!#REF!</f>
        <v>#REF!</v>
      </c>
      <c r="AH85" s="249" t="e">
        <f>+'Zał.1_WPF_bazowy'!#REF!</f>
        <v>#REF!</v>
      </c>
      <c r="AI85" s="249" t="e">
        <f>+'Zał.1_WPF_bazowy'!#REF!</f>
        <v>#REF!</v>
      </c>
      <c r="AJ85" s="249" t="e">
        <f>+'Zał.1_WPF_bazowy'!#REF!</f>
        <v>#REF!</v>
      </c>
      <c r="AK85" s="249" t="e">
        <f>+'Zał.1_WPF_bazowy'!#REF!</f>
        <v>#REF!</v>
      </c>
      <c r="AL85" s="250" t="e">
        <f>+'Zał.1_WPF_bazowy'!#REF!</f>
        <v>#REF!</v>
      </c>
    </row>
    <row r="86" spans="1:38" ht="24" outlineLevel="2">
      <c r="A86" s="1"/>
      <c r="B86" s="242" t="s">
        <v>205</v>
      </c>
      <c r="C86" s="243"/>
      <c r="D86" s="251" t="s">
        <v>207</v>
      </c>
      <c r="E86" s="245">
        <f>'Zał.1_WPF_bazowy'!E79</f>
        <v>579470.19</v>
      </c>
      <c r="F86" s="246">
        <f>'Zał.1_WPF_bazowy'!F79</f>
        <v>191094</v>
      </c>
      <c r="G86" s="246">
        <f>'Zał.1_WPF_bazowy'!G79</f>
        <v>27150</v>
      </c>
      <c r="H86" s="247">
        <f>'Zał.1_WPF_bazowy'!H79</f>
        <v>27120</v>
      </c>
      <c r="I86" s="248">
        <f>+'Zał.1_WPF_bazowy'!I79</f>
        <v>0</v>
      </c>
      <c r="J86" s="249">
        <f>+'Zał.1_WPF_bazowy'!J79</f>
        <v>0</v>
      </c>
      <c r="K86" s="249">
        <f>+'Zał.1_WPF_bazowy'!K79</f>
        <v>0</v>
      </c>
      <c r="L86" s="249">
        <f>+'Zał.1_WPF_bazowy'!L79</f>
        <v>0</v>
      </c>
      <c r="M86" s="249">
        <f>+'Zał.1_WPF_bazowy'!M79</f>
        <v>0</v>
      </c>
      <c r="N86" s="249">
        <f>+'Zał.1_WPF_bazowy'!N79</f>
        <v>0</v>
      </c>
      <c r="O86" s="249">
        <f>+'Zał.1_WPF_bazowy'!O79</f>
        <v>0</v>
      </c>
      <c r="P86" s="249">
        <f>+'Zał.1_WPF_bazowy'!P79</f>
        <v>0</v>
      </c>
      <c r="Q86" s="249">
        <f>+'Zał.1_WPF_bazowy'!Q79</f>
        <v>0</v>
      </c>
      <c r="R86" s="249" t="e">
        <f>+'Zał.1_WPF_bazowy'!#REF!</f>
        <v>#REF!</v>
      </c>
      <c r="S86" s="249" t="e">
        <f>+'Zał.1_WPF_bazowy'!#REF!</f>
        <v>#REF!</v>
      </c>
      <c r="T86" s="249" t="e">
        <f>+'Zał.1_WPF_bazowy'!#REF!</f>
        <v>#REF!</v>
      </c>
      <c r="U86" s="249" t="e">
        <f>+'Zał.1_WPF_bazowy'!#REF!</f>
        <v>#REF!</v>
      </c>
      <c r="V86" s="249" t="e">
        <f>+'Zał.1_WPF_bazowy'!#REF!</f>
        <v>#REF!</v>
      </c>
      <c r="W86" s="249" t="e">
        <f>+'Zał.1_WPF_bazowy'!#REF!</f>
        <v>#REF!</v>
      </c>
      <c r="X86" s="249" t="e">
        <f>+'Zał.1_WPF_bazowy'!#REF!</f>
        <v>#REF!</v>
      </c>
      <c r="Y86" s="249" t="e">
        <f>+'Zał.1_WPF_bazowy'!#REF!</f>
        <v>#REF!</v>
      </c>
      <c r="Z86" s="249" t="e">
        <f>+'Zał.1_WPF_bazowy'!#REF!</f>
        <v>#REF!</v>
      </c>
      <c r="AA86" s="249" t="e">
        <f>+'Zał.1_WPF_bazowy'!#REF!</f>
        <v>#REF!</v>
      </c>
      <c r="AB86" s="249" t="e">
        <f>+'Zał.1_WPF_bazowy'!#REF!</f>
        <v>#REF!</v>
      </c>
      <c r="AC86" s="249" t="e">
        <f>+'Zał.1_WPF_bazowy'!#REF!</f>
        <v>#REF!</v>
      </c>
      <c r="AD86" s="249" t="e">
        <f>+'Zał.1_WPF_bazowy'!#REF!</f>
        <v>#REF!</v>
      </c>
      <c r="AE86" s="249" t="e">
        <f>+'Zał.1_WPF_bazowy'!#REF!</f>
        <v>#REF!</v>
      </c>
      <c r="AF86" s="249" t="e">
        <f>+'Zał.1_WPF_bazowy'!#REF!</f>
        <v>#REF!</v>
      </c>
      <c r="AG86" s="249" t="e">
        <f>+'Zał.1_WPF_bazowy'!#REF!</f>
        <v>#REF!</v>
      </c>
      <c r="AH86" s="249" t="e">
        <f>+'Zał.1_WPF_bazowy'!#REF!</f>
        <v>#REF!</v>
      </c>
      <c r="AI86" s="249" t="e">
        <f>+'Zał.1_WPF_bazowy'!#REF!</f>
        <v>#REF!</v>
      </c>
      <c r="AJ86" s="249" t="e">
        <f>+'Zał.1_WPF_bazowy'!#REF!</f>
        <v>#REF!</v>
      </c>
      <c r="AK86" s="249" t="e">
        <f>+'Zał.1_WPF_bazowy'!#REF!</f>
        <v>#REF!</v>
      </c>
      <c r="AL86" s="250" t="e">
        <f>+'Zał.1_WPF_bazowy'!#REF!</f>
        <v>#REF!</v>
      </c>
    </row>
    <row r="87" spans="1:38" ht="36" outlineLevel="2">
      <c r="A87" s="1"/>
      <c r="B87" s="242" t="s">
        <v>208</v>
      </c>
      <c r="C87" s="243"/>
      <c r="D87" s="244" t="s">
        <v>210</v>
      </c>
      <c r="E87" s="245">
        <f>'Zał.1_WPF_bazowy'!E80</f>
        <v>0</v>
      </c>
      <c r="F87" s="246">
        <f>'Zał.1_WPF_bazowy'!F80</f>
        <v>0</v>
      </c>
      <c r="G87" s="246">
        <f>'Zał.1_WPF_bazowy'!G80</f>
        <v>0</v>
      </c>
      <c r="H87" s="247">
        <f>'Zał.1_WPF_bazowy'!H80</f>
        <v>0</v>
      </c>
      <c r="I87" s="248">
        <f>+'Zał.1_WPF_bazowy'!I80</f>
        <v>4478.99</v>
      </c>
      <c r="J87" s="249">
        <f>+'Zał.1_WPF_bazowy'!J80</f>
        <v>0</v>
      </c>
      <c r="K87" s="249">
        <f>+'Zał.1_WPF_bazowy'!K80</f>
        <v>0</v>
      </c>
      <c r="L87" s="249">
        <f>+'Zał.1_WPF_bazowy'!L80</f>
        <v>0</v>
      </c>
      <c r="M87" s="249">
        <f>+'Zał.1_WPF_bazowy'!M80</f>
        <v>0</v>
      </c>
      <c r="N87" s="249">
        <f>+'Zał.1_WPF_bazowy'!N80</f>
        <v>0</v>
      </c>
      <c r="O87" s="249">
        <f>+'Zał.1_WPF_bazowy'!O80</f>
        <v>0</v>
      </c>
      <c r="P87" s="249">
        <f>+'Zał.1_WPF_bazowy'!P80</f>
        <v>0</v>
      </c>
      <c r="Q87" s="249">
        <f>+'Zał.1_WPF_bazowy'!Q80</f>
        <v>0</v>
      </c>
      <c r="R87" s="249" t="e">
        <f>+'Zał.1_WPF_bazowy'!#REF!</f>
        <v>#REF!</v>
      </c>
      <c r="S87" s="249" t="e">
        <f>+'Zał.1_WPF_bazowy'!#REF!</f>
        <v>#REF!</v>
      </c>
      <c r="T87" s="249" t="e">
        <f>+'Zał.1_WPF_bazowy'!#REF!</f>
        <v>#REF!</v>
      </c>
      <c r="U87" s="249" t="e">
        <f>+'Zał.1_WPF_bazowy'!#REF!</f>
        <v>#REF!</v>
      </c>
      <c r="V87" s="249" t="e">
        <f>+'Zał.1_WPF_bazowy'!#REF!</f>
        <v>#REF!</v>
      </c>
      <c r="W87" s="249" t="e">
        <f>+'Zał.1_WPF_bazowy'!#REF!</f>
        <v>#REF!</v>
      </c>
      <c r="X87" s="249" t="e">
        <f>+'Zał.1_WPF_bazowy'!#REF!</f>
        <v>#REF!</v>
      </c>
      <c r="Y87" s="249" t="e">
        <f>+'Zał.1_WPF_bazowy'!#REF!</f>
        <v>#REF!</v>
      </c>
      <c r="Z87" s="249" t="e">
        <f>+'Zał.1_WPF_bazowy'!#REF!</f>
        <v>#REF!</v>
      </c>
      <c r="AA87" s="249" t="e">
        <f>+'Zał.1_WPF_bazowy'!#REF!</f>
        <v>#REF!</v>
      </c>
      <c r="AB87" s="249" t="e">
        <f>+'Zał.1_WPF_bazowy'!#REF!</f>
        <v>#REF!</v>
      </c>
      <c r="AC87" s="249" t="e">
        <f>+'Zał.1_WPF_bazowy'!#REF!</f>
        <v>#REF!</v>
      </c>
      <c r="AD87" s="249" t="e">
        <f>+'Zał.1_WPF_bazowy'!#REF!</f>
        <v>#REF!</v>
      </c>
      <c r="AE87" s="249" t="e">
        <f>+'Zał.1_WPF_bazowy'!#REF!</f>
        <v>#REF!</v>
      </c>
      <c r="AF87" s="249" t="e">
        <f>+'Zał.1_WPF_bazowy'!#REF!</f>
        <v>#REF!</v>
      </c>
      <c r="AG87" s="249" t="e">
        <f>+'Zał.1_WPF_bazowy'!#REF!</f>
        <v>#REF!</v>
      </c>
      <c r="AH87" s="249" t="e">
        <f>+'Zał.1_WPF_bazowy'!#REF!</f>
        <v>#REF!</v>
      </c>
      <c r="AI87" s="249" t="e">
        <f>+'Zał.1_WPF_bazowy'!#REF!</f>
        <v>#REF!</v>
      </c>
      <c r="AJ87" s="249" t="e">
        <f>+'Zał.1_WPF_bazowy'!#REF!</f>
        <v>#REF!</v>
      </c>
      <c r="AK87" s="249" t="e">
        <f>+'Zał.1_WPF_bazowy'!#REF!</f>
        <v>#REF!</v>
      </c>
      <c r="AL87" s="250" t="e">
        <f>+'Zał.1_WPF_bazowy'!#REF!</f>
        <v>#REF!</v>
      </c>
    </row>
    <row r="88" spans="1:38" ht="14.25" outlineLevel="2">
      <c r="A88" s="1"/>
      <c r="B88" s="242" t="s">
        <v>211</v>
      </c>
      <c r="C88" s="243"/>
      <c r="D88" s="251" t="s">
        <v>213</v>
      </c>
      <c r="E88" s="245">
        <f>'Zał.1_WPF_bazowy'!E81</f>
        <v>0</v>
      </c>
      <c r="F88" s="246">
        <f>'Zał.1_WPF_bazowy'!F81</f>
        <v>0</v>
      </c>
      <c r="G88" s="246">
        <f>'Zał.1_WPF_bazowy'!G81</f>
        <v>0</v>
      </c>
      <c r="H88" s="247">
        <f>'Zał.1_WPF_bazowy'!H81</f>
        <v>0</v>
      </c>
      <c r="I88" s="248">
        <f>+'Zał.1_WPF_bazowy'!I81</f>
        <v>0</v>
      </c>
      <c r="J88" s="249">
        <f>+'Zał.1_WPF_bazowy'!J81</f>
        <v>0</v>
      </c>
      <c r="K88" s="249">
        <f>+'Zał.1_WPF_bazowy'!K81</f>
        <v>0</v>
      </c>
      <c r="L88" s="249">
        <f>+'Zał.1_WPF_bazowy'!L81</f>
        <v>0</v>
      </c>
      <c r="M88" s="249">
        <f>+'Zał.1_WPF_bazowy'!M81</f>
        <v>0</v>
      </c>
      <c r="N88" s="249">
        <f>+'Zał.1_WPF_bazowy'!N81</f>
        <v>0</v>
      </c>
      <c r="O88" s="249">
        <f>+'Zał.1_WPF_bazowy'!O81</f>
        <v>0</v>
      </c>
      <c r="P88" s="249">
        <f>+'Zał.1_WPF_bazowy'!P81</f>
        <v>0</v>
      </c>
      <c r="Q88" s="249">
        <f>+'Zał.1_WPF_bazowy'!Q81</f>
        <v>0</v>
      </c>
      <c r="R88" s="249" t="e">
        <f>+'Zał.1_WPF_bazowy'!#REF!</f>
        <v>#REF!</v>
      </c>
      <c r="S88" s="249" t="e">
        <f>+'Zał.1_WPF_bazowy'!#REF!</f>
        <v>#REF!</v>
      </c>
      <c r="T88" s="249" t="e">
        <f>+'Zał.1_WPF_bazowy'!#REF!</f>
        <v>#REF!</v>
      </c>
      <c r="U88" s="249" t="e">
        <f>+'Zał.1_WPF_bazowy'!#REF!</f>
        <v>#REF!</v>
      </c>
      <c r="V88" s="249" t="e">
        <f>+'Zał.1_WPF_bazowy'!#REF!</f>
        <v>#REF!</v>
      </c>
      <c r="W88" s="249" t="e">
        <f>+'Zał.1_WPF_bazowy'!#REF!</f>
        <v>#REF!</v>
      </c>
      <c r="X88" s="249" t="e">
        <f>+'Zał.1_WPF_bazowy'!#REF!</f>
        <v>#REF!</v>
      </c>
      <c r="Y88" s="249" t="e">
        <f>+'Zał.1_WPF_bazowy'!#REF!</f>
        <v>#REF!</v>
      </c>
      <c r="Z88" s="249" t="e">
        <f>+'Zał.1_WPF_bazowy'!#REF!</f>
        <v>#REF!</v>
      </c>
      <c r="AA88" s="249" t="e">
        <f>+'Zał.1_WPF_bazowy'!#REF!</f>
        <v>#REF!</v>
      </c>
      <c r="AB88" s="249" t="e">
        <f>+'Zał.1_WPF_bazowy'!#REF!</f>
        <v>#REF!</v>
      </c>
      <c r="AC88" s="249" t="e">
        <f>+'Zał.1_WPF_bazowy'!#REF!</f>
        <v>#REF!</v>
      </c>
      <c r="AD88" s="249" t="e">
        <f>+'Zał.1_WPF_bazowy'!#REF!</f>
        <v>#REF!</v>
      </c>
      <c r="AE88" s="249" t="e">
        <f>+'Zał.1_WPF_bazowy'!#REF!</f>
        <v>#REF!</v>
      </c>
      <c r="AF88" s="249" t="e">
        <f>+'Zał.1_WPF_bazowy'!#REF!</f>
        <v>#REF!</v>
      </c>
      <c r="AG88" s="249" t="e">
        <f>+'Zał.1_WPF_bazowy'!#REF!</f>
        <v>#REF!</v>
      </c>
      <c r="AH88" s="249" t="e">
        <f>+'Zał.1_WPF_bazowy'!#REF!</f>
        <v>#REF!</v>
      </c>
      <c r="AI88" s="249" t="e">
        <f>+'Zał.1_WPF_bazowy'!#REF!</f>
        <v>#REF!</v>
      </c>
      <c r="AJ88" s="249" t="e">
        <f>+'Zał.1_WPF_bazowy'!#REF!</f>
        <v>#REF!</v>
      </c>
      <c r="AK88" s="249" t="e">
        <f>+'Zał.1_WPF_bazowy'!#REF!</f>
        <v>#REF!</v>
      </c>
      <c r="AL88" s="250" t="e">
        <f>+'Zał.1_WPF_bazowy'!#REF!</f>
        <v>#REF!</v>
      </c>
    </row>
    <row r="89" spans="1:38" ht="36" outlineLevel="2">
      <c r="A89" s="1"/>
      <c r="B89" s="242" t="s">
        <v>214</v>
      </c>
      <c r="C89" s="243"/>
      <c r="D89" s="244" t="s">
        <v>216</v>
      </c>
      <c r="E89" s="245">
        <f>'Zał.1_WPF_bazowy'!E82</f>
        <v>0</v>
      </c>
      <c r="F89" s="246">
        <f>'Zał.1_WPF_bazowy'!F82</f>
        <v>0</v>
      </c>
      <c r="G89" s="246">
        <f>'Zał.1_WPF_bazowy'!G82</f>
        <v>0</v>
      </c>
      <c r="H89" s="247">
        <f>'Zał.1_WPF_bazowy'!H82</f>
        <v>0</v>
      </c>
      <c r="I89" s="248">
        <f>+'Zał.1_WPF_bazowy'!I82</f>
        <v>0</v>
      </c>
      <c r="J89" s="249">
        <f>+'Zał.1_WPF_bazowy'!J82</f>
        <v>0</v>
      </c>
      <c r="K89" s="249">
        <f>+'Zał.1_WPF_bazowy'!K82</f>
        <v>0</v>
      </c>
      <c r="L89" s="249">
        <f>+'Zał.1_WPF_bazowy'!L82</f>
        <v>0</v>
      </c>
      <c r="M89" s="249">
        <f>+'Zał.1_WPF_bazowy'!M82</f>
        <v>0</v>
      </c>
      <c r="N89" s="249">
        <f>+'Zał.1_WPF_bazowy'!N82</f>
        <v>0</v>
      </c>
      <c r="O89" s="249">
        <f>+'Zał.1_WPF_bazowy'!O82</f>
        <v>0</v>
      </c>
      <c r="P89" s="249">
        <f>+'Zał.1_WPF_bazowy'!P82</f>
        <v>0</v>
      </c>
      <c r="Q89" s="249">
        <f>+'Zał.1_WPF_bazowy'!Q82</f>
        <v>0</v>
      </c>
      <c r="R89" s="249" t="e">
        <f>+'Zał.1_WPF_bazowy'!#REF!</f>
        <v>#REF!</v>
      </c>
      <c r="S89" s="249" t="e">
        <f>+'Zał.1_WPF_bazowy'!#REF!</f>
        <v>#REF!</v>
      </c>
      <c r="T89" s="249" t="e">
        <f>+'Zał.1_WPF_bazowy'!#REF!</f>
        <v>#REF!</v>
      </c>
      <c r="U89" s="249" t="e">
        <f>+'Zał.1_WPF_bazowy'!#REF!</f>
        <v>#REF!</v>
      </c>
      <c r="V89" s="249" t="e">
        <f>+'Zał.1_WPF_bazowy'!#REF!</f>
        <v>#REF!</v>
      </c>
      <c r="W89" s="249" t="e">
        <f>+'Zał.1_WPF_bazowy'!#REF!</f>
        <v>#REF!</v>
      </c>
      <c r="X89" s="249" t="e">
        <f>+'Zał.1_WPF_bazowy'!#REF!</f>
        <v>#REF!</v>
      </c>
      <c r="Y89" s="249" t="e">
        <f>+'Zał.1_WPF_bazowy'!#REF!</f>
        <v>#REF!</v>
      </c>
      <c r="Z89" s="249" t="e">
        <f>+'Zał.1_WPF_bazowy'!#REF!</f>
        <v>#REF!</v>
      </c>
      <c r="AA89" s="249" t="e">
        <f>+'Zał.1_WPF_bazowy'!#REF!</f>
        <v>#REF!</v>
      </c>
      <c r="AB89" s="249" t="e">
        <f>+'Zał.1_WPF_bazowy'!#REF!</f>
        <v>#REF!</v>
      </c>
      <c r="AC89" s="249" t="e">
        <f>+'Zał.1_WPF_bazowy'!#REF!</f>
        <v>#REF!</v>
      </c>
      <c r="AD89" s="249" t="e">
        <f>+'Zał.1_WPF_bazowy'!#REF!</f>
        <v>#REF!</v>
      </c>
      <c r="AE89" s="249" t="e">
        <f>+'Zał.1_WPF_bazowy'!#REF!</f>
        <v>#REF!</v>
      </c>
      <c r="AF89" s="249" t="e">
        <f>+'Zał.1_WPF_bazowy'!#REF!</f>
        <v>#REF!</v>
      </c>
      <c r="AG89" s="249" t="e">
        <f>+'Zał.1_WPF_bazowy'!#REF!</f>
        <v>#REF!</v>
      </c>
      <c r="AH89" s="249" t="e">
        <f>+'Zał.1_WPF_bazowy'!#REF!</f>
        <v>#REF!</v>
      </c>
      <c r="AI89" s="249" t="e">
        <f>+'Zał.1_WPF_bazowy'!#REF!</f>
        <v>#REF!</v>
      </c>
      <c r="AJ89" s="249" t="e">
        <f>+'Zał.1_WPF_bazowy'!#REF!</f>
        <v>#REF!</v>
      </c>
      <c r="AK89" s="249" t="e">
        <f>+'Zał.1_WPF_bazowy'!#REF!</f>
        <v>#REF!</v>
      </c>
      <c r="AL89" s="250" t="e">
        <f>+'Zał.1_WPF_bazowy'!#REF!</f>
        <v>#REF!</v>
      </c>
    </row>
    <row r="90" spans="1:38" ht="14.25" outlineLevel="2">
      <c r="A90" s="1"/>
      <c r="B90" s="242" t="s">
        <v>217</v>
      </c>
      <c r="C90" s="243"/>
      <c r="D90" s="251" t="s">
        <v>213</v>
      </c>
      <c r="E90" s="245">
        <f>'Zał.1_WPF_bazowy'!E83</f>
        <v>0</v>
      </c>
      <c r="F90" s="246">
        <f>'Zał.1_WPF_bazowy'!F83</f>
        <v>0</v>
      </c>
      <c r="G90" s="246">
        <f>'Zał.1_WPF_bazowy'!G83</f>
        <v>0</v>
      </c>
      <c r="H90" s="247">
        <f>'Zał.1_WPF_bazowy'!H83</f>
        <v>0</v>
      </c>
      <c r="I90" s="248">
        <f>+'Zał.1_WPF_bazowy'!I83</f>
        <v>0</v>
      </c>
      <c r="J90" s="249">
        <f>+'Zał.1_WPF_bazowy'!J83</f>
        <v>0</v>
      </c>
      <c r="K90" s="249">
        <f>+'Zał.1_WPF_bazowy'!K83</f>
        <v>0</v>
      </c>
      <c r="L90" s="249">
        <f>+'Zał.1_WPF_bazowy'!L83</f>
        <v>0</v>
      </c>
      <c r="M90" s="249">
        <f>+'Zał.1_WPF_bazowy'!M83</f>
        <v>0</v>
      </c>
      <c r="N90" s="249">
        <f>+'Zał.1_WPF_bazowy'!N83</f>
        <v>0</v>
      </c>
      <c r="O90" s="249">
        <f>+'Zał.1_WPF_bazowy'!O83</f>
        <v>0</v>
      </c>
      <c r="P90" s="249">
        <f>+'Zał.1_WPF_bazowy'!P83</f>
        <v>0</v>
      </c>
      <c r="Q90" s="249">
        <f>+'Zał.1_WPF_bazowy'!Q83</f>
        <v>0</v>
      </c>
      <c r="R90" s="249" t="e">
        <f>+'Zał.1_WPF_bazowy'!#REF!</f>
        <v>#REF!</v>
      </c>
      <c r="S90" s="249" t="e">
        <f>+'Zał.1_WPF_bazowy'!#REF!</f>
        <v>#REF!</v>
      </c>
      <c r="T90" s="249" t="e">
        <f>+'Zał.1_WPF_bazowy'!#REF!</f>
        <v>#REF!</v>
      </c>
      <c r="U90" s="249" t="e">
        <f>+'Zał.1_WPF_bazowy'!#REF!</f>
        <v>#REF!</v>
      </c>
      <c r="V90" s="249" t="e">
        <f>+'Zał.1_WPF_bazowy'!#REF!</f>
        <v>#REF!</v>
      </c>
      <c r="W90" s="249" t="e">
        <f>+'Zał.1_WPF_bazowy'!#REF!</f>
        <v>#REF!</v>
      </c>
      <c r="X90" s="249" t="e">
        <f>+'Zał.1_WPF_bazowy'!#REF!</f>
        <v>#REF!</v>
      </c>
      <c r="Y90" s="249" t="e">
        <f>+'Zał.1_WPF_bazowy'!#REF!</f>
        <v>#REF!</v>
      </c>
      <c r="Z90" s="249" t="e">
        <f>+'Zał.1_WPF_bazowy'!#REF!</f>
        <v>#REF!</v>
      </c>
      <c r="AA90" s="249" t="e">
        <f>+'Zał.1_WPF_bazowy'!#REF!</f>
        <v>#REF!</v>
      </c>
      <c r="AB90" s="249" t="e">
        <f>+'Zał.1_WPF_bazowy'!#REF!</f>
        <v>#REF!</v>
      </c>
      <c r="AC90" s="249" t="e">
        <f>+'Zał.1_WPF_bazowy'!#REF!</f>
        <v>#REF!</v>
      </c>
      <c r="AD90" s="249" t="e">
        <f>+'Zał.1_WPF_bazowy'!#REF!</f>
        <v>#REF!</v>
      </c>
      <c r="AE90" s="249" t="e">
        <f>+'Zał.1_WPF_bazowy'!#REF!</f>
        <v>#REF!</v>
      </c>
      <c r="AF90" s="249" t="e">
        <f>+'Zał.1_WPF_bazowy'!#REF!</f>
        <v>#REF!</v>
      </c>
      <c r="AG90" s="249" t="e">
        <f>+'Zał.1_WPF_bazowy'!#REF!</f>
        <v>#REF!</v>
      </c>
      <c r="AH90" s="249" t="e">
        <f>+'Zał.1_WPF_bazowy'!#REF!</f>
        <v>#REF!</v>
      </c>
      <c r="AI90" s="249" t="e">
        <f>+'Zał.1_WPF_bazowy'!#REF!</f>
        <v>#REF!</v>
      </c>
      <c r="AJ90" s="249" t="e">
        <f>+'Zał.1_WPF_bazowy'!#REF!</f>
        <v>#REF!</v>
      </c>
      <c r="AK90" s="249" t="e">
        <f>+'Zał.1_WPF_bazowy'!#REF!</f>
        <v>#REF!</v>
      </c>
      <c r="AL90" s="250" t="e">
        <f>+'Zał.1_WPF_bazowy'!#REF!</f>
        <v>#REF!</v>
      </c>
    </row>
    <row r="91" spans="1:38" ht="36" outlineLevel="2">
      <c r="A91" s="1"/>
      <c r="B91" s="242" t="s">
        <v>218</v>
      </c>
      <c r="C91" s="243"/>
      <c r="D91" s="244" t="s">
        <v>220</v>
      </c>
      <c r="E91" s="245">
        <f>'Zał.1_WPF_bazowy'!E84</f>
        <v>0</v>
      </c>
      <c r="F91" s="246">
        <f>'Zał.1_WPF_bazowy'!F84</f>
        <v>0</v>
      </c>
      <c r="G91" s="246">
        <f>'Zał.1_WPF_bazowy'!G84</f>
        <v>0</v>
      </c>
      <c r="H91" s="247">
        <f>'Zał.1_WPF_bazowy'!H84</f>
        <v>0</v>
      </c>
      <c r="I91" s="248">
        <f>+'Zał.1_WPF_bazowy'!I84</f>
        <v>0</v>
      </c>
      <c r="J91" s="249">
        <f>+'Zał.1_WPF_bazowy'!J84</f>
        <v>0</v>
      </c>
      <c r="K91" s="249">
        <f>+'Zał.1_WPF_bazowy'!K84</f>
        <v>0</v>
      </c>
      <c r="L91" s="249">
        <f>+'Zał.1_WPF_bazowy'!L84</f>
        <v>0</v>
      </c>
      <c r="M91" s="249">
        <f>+'Zał.1_WPF_bazowy'!M84</f>
        <v>0</v>
      </c>
      <c r="N91" s="249">
        <f>+'Zał.1_WPF_bazowy'!N84</f>
        <v>0</v>
      </c>
      <c r="O91" s="249">
        <f>+'Zał.1_WPF_bazowy'!O84</f>
        <v>0</v>
      </c>
      <c r="P91" s="249">
        <f>+'Zał.1_WPF_bazowy'!P84</f>
        <v>0</v>
      </c>
      <c r="Q91" s="249">
        <f>+'Zał.1_WPF_bazowy'!Q84</f>
        <v>0</v>
      </c>
      <c r="R91" s="249" t="e">
        <f>+'Zał.1_WPF_bazowy'!#REF!</f>
        <v>#REF!</v>
      </c>
      <c r="S91" s="249" t="e">
        <f>+'Zał.1_WPF_bazowy'!#REF!</f>
        <v>#REF!</v>
      </c>
      <c r="T91" s="249" t="e">
        <f>+'Zał.1_WPF_bazowy'!#REF!</f>
        <v>#REF!</v>
      </c>
      <c r="U91" s="249" t="e">
        <f>+'Zał.1_WPF_bazowy'!#REF!</f>
        <v>#REF!</v>
      </c>
      <c r="V91" s="249" t="e">
        <f>+'Zał.1_WPF_bazowy'!#REF!</f>
        <v>#REF!</v>
      </c>
      <c r="W91" s="249" t="e">
        <f>+'Zał.1_WPF_bazowy'!#REF!</f>
        <v>#REF!</v>
      </c>
      <c r="X91" s="249" t="e">
        <f>+'Zał.1_WPF_bazowy'!#REF!</f>
        <v>#REF!</v>
      </c>
      <c r="Y91" s="249" t="e">
        <f>+'Zał.1_WPF_bazowy'!#REF!</f>
        <v>#REF!</v>
      </c>
      <c r="Z91" s="249" t="e">
        <f>+'Zał.1_WPF_bazowy'!#REF!</f>
        <v>#REF!</v>
      </c>
      <c r="AA91" s="249" t="e">
        <f>+'Zał.1_WPF_bazowy'!#REF!</f>
        <v>#REF!</v>
      </c>
      <c r="AB91" s="249" t="e">
        <f>+'Zał.1_WPF_bazowy'!#REF!</f>
        <v>#REF!</v>
      </c>
      <c r="AC91" s="249" t="e">
        <f>+'Zał.1_WPF_bazowy'!#REF!</f>
        <v>#REF!</v>
      </c>
      <c r="AD91" s="249" t="e">
        <f>+'Zał.1_WPF_bazowy'!#REF!</f>
        <v>#REF!</v>
      </c>
      <c r="AE91" s="249" t="e">
        <f>+'Zał.1_WPF_bazowy'!#REF!</f>
        <v>#REF!</v>
      </c>
      <c r="AF91" s="249" t="e">
        <f>+'Zał.1_WPF_bazowy'!#REF!</f>
        <v>#REF!</v>
      </c>
      <c r="AG91" s="249" t="e">
        <f>+'Zał.1_WPF_bazowy'!#REF!</f>
        <v>#REF!</v>
      </c>
      <c r="AH91" s="249" t="e">
        <f>+'Zał.1_WPF_bazowy'!#REF!</f>
        <v>#REF!</v>
      </c>
      <c r="AI91" s="249" t="e">
        <f>+'Zał.1_WPF_bazowy'!#REF!</f>
        <v>#REF!</v>
      </c>
      <c r="AJ91" s="249" t="e">
        <f>+'Zał.1_WPF_bazowy'!#REF!</f>
        <v>#REF!</v>
      </c>
      <c r="AK91" s="249" t="e">
        <f>+'Zał.1_WPF_bazowy'!#REF!</f>
        <v>#REF!</v>
      </c>
      <c r="AL91" s="250" t="e">
        <f>+'Zał.1_WPF_bazowy'!#REF!</f>
        <v>#REF!</v>
      </c>
    </row>
    <row r="92" spans="1:38" ht="14.25" outlineLevel="2">
      <c r="A92" s="1"/>
      <c r="B92" s="242" t="s">
        <v>221</v>
      </c>
      <c r="C92" s="243"/>
      <c r="D92" s="251" t="s">
        <v>213</v>
      </c>
      <c r="E92" s="245">
        <f>'Zał.1_WPF_bazowy'!E85</f>
        <v>0</v>
      </c>
      <c r="F92" s="246">
        <f>'Zał.1_WPF_bazowy'!F85</f>
        <v>0</v>
      </c>
      <c r="G92" s="246">
        <f>'Zał.1_WPF_bazowy'!G85</f>
        <v>0</v>
      </c>
      <c r="H92" s="247">
        <f>'Zał.1_WPF_bazowy'!H85</f>
        <v>0</v>
      </c>
      <c r="I92" s="248">
        <f>+'Zał.1_WPF_bazowy'!I85</f>
        <v>0</v>
      </c>
      <c r="J92" s="249">
        <f>+'Zał.1_WPF_bazowy'!J85</f>
        <v>0</v>
      </c>
      <c r="K92" s="249">
        <f>+'Zał.1_WPF_bazowy'!K85</f>
        <v>0</v>
      </c>
      <c r="L92" s="249">
        <f>+'Zał.1_WPF_bazowy'!L85</f>
        <v>0</v>
      </c>
      <c r="M92" s="249">
        <f>+'Zał.1_WPF_bazowy'!M85</f>
        <v>0</v>
      </c>
      <c r="N92" s="249">
        <f>+'Zał.1_WPF_bazowy'!N85</f>
        <v>0</v>
      </c>
      <c r="O92" s="249">
        <f>+'Zał.1_WPF_bazowy'!O85</f>
        <v>0</v>
      </c>
      <c r="P92" s="249">
        <f>+'Zał.1_WPF_bazowy'!P85</f>
        <v>0</v>
      </c>
      <c r="Q92" s="249">
        <f>+'Zał.1_WPF_bazowy'!Q85</f>
        <v>0</v>
      </c>
      <c r="R92" s="249" t="e">
        <f>+'Zał.1_WPF_bazowy'!#REF!</f>
        <v>#REF!</v>
      </c>
      <c r="S92" s="249" t="e">
        <f>+'Zał.1_WPF_bazowy'!#REF!</f>
        <v>#REF!</v>
      </c>
      <c r="T92" s="249" t="e">
        <f>+'Zał.1_WPF_bazowy'!#REF!</f>
        <v>#REF!</v>
      </c>
      <c r="U92" s="249" t="e">
        <f>+'Zał.1_WPF_bazowy'!#REF!</f>
        <v>#REF!</v>
      </c>
      <c r="V92" s="249" t="e">
        <f>+'Zał.1_WPF_bazowy'!#REF!</f>
        <v>#REF!</v>
      </c>
      <c r="W92" s="249" t="e">
        <f>+'Zał.1_WPF_bazowy'!#REF!</f>
        <v>#REF!</v>
      </c>
      <c r="X92" s="249" t="e">
        <f>+'Zał.1_WPF_bazowy'!#REF!</f>
        <v>#REF!</v>
      </c>
      <c r="Y92" s="249" t="e">
        <f>+'Zał.1_WPF_bazowy'!#REF!</f>
        <v>#REF!</v>
      </c>
      <c r="Z92" s="249" t="e">
        <f>+'Zał.1_WPF_bazowy'!#REF!</f>
        <v>#REF!</v>
      </c>
      <c r="AA92" s="249" t="e">
        <f>+'Zał.1_WPF_bazowy'!#REF!</f>
        <v>#REF!</v>
      </c>
      <c r="AB92" s="249" t="e">
        <f>+'Zał.1_WPF_bazowy'!#REF!</f>
        <v>#REF!</v>
      </c>
      <c r="AC92" s="249" t="e">
        <f>+'Zał.1_WPF_bazowy'!#REF!</f>
        <v>#REF!</v>
      </c>
      <c r="AD92" s="249" t="e">
        <f>+'Zał.1_WPF_bazowy'!#REF!</f>
        <v>#REF!</v>
      </c>
      <c r="AE92" s="249" t="e">
        <f>+'Zał.1_WPF_bazowy'!#REF!</f>
        <v>#REF!</v>
      </c>
      <c r="AF92" s="249" t="e">
        <f>+'Zał.1_WPF_bazowy'!#REF!</f>
        <v>#REF!</v>
      </c>
      <c r="AG92" s="249" t="e">
        <f>+'Zał.1_WPF_bazowy'!#REF!</f>
        <v>#REF!</v>
      </c>
      <c r="AH92" s="249" t="e">
        <f>+'Zał.1_WPF_bazowy'!#REF!</f>
        <v>#REF!</v>
      </c>
      <c r="AI92" s="249" t="e">
        <f>+'Zał.1_WPF_bazowy'!#REF!</f>
        <v>#REF!</v>
      </c>
      <c r="AJ92" s="249" t="e">
        <f>+'Zał.1_WPF_bazowy'!#REF!</f>
        <v>#REF!</v>
      </c>
      <c r="AK92" s="249" t="e">
        <f>+'Zał.1_WPF_bazowy'!#REF!</f>
        <v>#REF!</v>
      </c>
      <c r="AL92" s="250" t="e">
        <f>+'Zał.1_WPF_bazowy'!#REF!</f>
        <v>#REF!</v>
      </c>
    </row>
    <row r="93" spans="1:38" ht="36" outlineLevel="2">
      <c r="A93" s="1"/>
      <c r="B93" s="242" t="s">
        <v>222</v>
      </c>
      <c r="C93" s="243"/>
      <c r="D93" s="244" t="s">
        <v>224</v>
      </c>
      <c r="E93" s="245">
        <f>'Zał.1_WPF_bazowy'!E86</f>
        <v>0</v>
      </c>
      <c r="F93" s="246">
        <f>'Zał.1_WPF_bazowy'!F86</f>
        <v>0</v>
      </c>
      <c r="G93" s="246">
        <f>'Zał.1_WPF_bazowy'!G86</f>
        <v>0</v>
      </c>
      <c r="H93" s="247">
        <f>'Zał.1_WPF_bazowy'!H86</f>
        <v>0</v>
      </c>
      <c r="I93" s="248">
        <f>+'Zał.1_WPF_bazowy'!I86</f>
        <v>0</v>
      </c>
      <c r="J93" s="249">
        <f>+'Zał.1_WPF_bazowy'!J86</f>
        <v>0</v>
      </c>
      <c r="K93" s="249">
        <f>+'Zał.1_WPF_bazowy'!K86</f>
        <v>0</v>
      </c>
      <c r="L93" s="249">
        <f>+'Zał.1_WPF_bazowy'!L86</f>
        <v>0</v>
      </c>
      <c r="M93" s="249">
        <f>+'Zał.1_WPF_bazowy'!M86</f>
        <v>0</v>
      </c>
      <c r="N93" s="249">
        <f>+'Zał.1_WPF_bazowy'!N86</f>
        <v>0</v>
      </c>
      <c r="O93" s="249">
        <f>+'Zał.1_WPF_bazowy'!O86</f>
        <v>0</v>
      </c>
      <c r="P93" s="249">
        <f>+'Zał.1_WPF_bazowy'!P86</f>
        <v>0</v>
      </c>
      <c r="Q93" s="249">
        <f>+'Zał.1_WPF_bazowy'!Q86</f>
        <v>0</v>
      </c>
      <c r="R93" s="249" t="e">
        <f>+'Zał.1_WPF_bazowy'!#REF!</f>
        <v>#REF!</v>
      </c>
      <c r="S93" s="249" t="e">
        <f>+'Zał.1_WPF_bazowy'!#REF!</f>
        <v>#REF!</v>
      </c>
      <c r="T93" s="249" t="e">
        <f>+'Zał.1_WPF_bazowy'!#REF!</f>
        <v>#REF!</v>
      </c>
      <c r="U93" s="249" t="e">
        <f>+'Zał.1_WPF_bazowy'!#REF!</f>
        <v>#REF!</v>
      </c>
      <c r="V93" s="249" t="e">
        <f>+'Zał.1_WPF_bazowy'!#REF!</f>
        <v>#REF!</v>
      </c>
      <c r="W93" s="249" t="e">
        <f>+'Zał.1_WPF_bazowy'!#REF!</f>
        <v>#REF!</v>
      </c>
      <c r="X93" s="249" t="e">
        <f>+'Zał.1_WPF_bazowy'!#REF!</f>
        <v>#REF!</v>
      </c>
      <c r="Y93" s="249" t="e">
        <f>+'Zał.1_WPF_bazowy'!#REF!</f>
        <v>#REF!</v>
      </c>
      <c r="Z93" s="249" t="e">
        <f>+'Zał.1_WPF_bazowy'!#REF!</f>
        <v>#REF!</v>
      </c>
      <c r="AA93" s="249" t="e">
        <f>+'Zał.1_WPF_bazowy'!#REF!</f>
        <v>#REF!</v>
      </c>
      <c r="AB93" s="249" t="e">
        <f>+'Zał.1_WPF_bazowy'!#REF!</f>
        <v>#REF!</v>
      </c>
      <c r="AC93" s="249" t="e">
        <f>+'Zał.1_WPF_bazowy'!#REF!</f>
        <v>#REF!</v>
      </c>
      <c r="AD93" s="249" t="e">
        <f>+'Zał.1_WPF_bazowy'!#REF!</f>
        <v>#REF!</v>
      </c>
      <c r="AE93" s="249" t="e">
        <f>+'Zał.1_WPF_bazowy'!#REF!</f>
        <v>#REF!</v>
      </c>
      <c r="AF93" s="249" t="e">
        <f>+'Zał.1_WPF_bazowy'!#REF!</f>
        <v>#REF!</v>
      </c>
      <c r="AG93" s="249" t="e">
        <f>+'Zał.1_WPF_bazowy'!#REF!</f>
        <v>#REF!</v>
      </c>
      <c r="AH93" s="249" t="e">
        <f>+'Zał.1_WPF_bazowy'!#REF!</f>
        <v>#REF!</v>
      </c>
      <c r="AI93" s="249" t="e">
        <f>+'Zał.1_WPF_bazowy'!#REF!</f>
        <v>#REF!</v>
      </c>
      <c r="AJ93" s="249" t="e">
        <f>+'Zał.1_WPF_bazowy'!#REF!</f>
        <v>#REF!</v>
      </c>
      <c r="AK93" s="249" t="e">
        <f>+'Zał.1_WPF_bazowy'!#REF!</f>
        <v>#REF!</v>
      </c>
      <c r="AL93" s="250" t="e">
        <f>+'Zał.1_WPF_bazowy'!#REF!</f>
        <v>#REF!</v>
      </c>
    </row>
    <row r="94" spans="1:38" ht="14.25" outlineLevel="2">
      <c r="A94" s="1"/>
      <c r="B94" s="242" t="s">
        <v>225</v>
      </c>
      <c r="C94" s="243"/>
      <c r="D94" s="251" t="s">
        <v>213</v>
      </c>
      <c r="E94" s="245">
        <f>'Zał.1_WPF_bazowy'!E87</f>
        <v>0</v>
      </c>
      <c r="F94" s="246">
        <f>'Zał.1_WPF_bazowy'!F87</f>
        <v>0</v>
      </c>
      <c r="G94" s="246">
        <f>'Zał.1_WPF_bazowy'!G87</f>
        <v>0</v>
      </c>
      <c r="H94" s="247">
        <f>'Zał.1_WPF_bazowy'!H87</f>
        <v>0</v>
      </c>
      <c r="I94" s="248">
        <f>+'Zał.1_WPF_bazowy'!I87</f>
        <v>0</v>
      </c>
      <c r="J94" s="249">
        <f>+'Zał.1_WPF_bazowy'!J87</f>
        <v>0</v>
      </c>
      <c r="K94" s="249">
        <f>+'Zał.1_WPF_bazowy'!K87</f>
        <v>0</v>
      </c>
      <c r="L94" s="249">
        <f>+'Zał.1_WPF_bazowy'!L87</f>
        <v>0</v>
      </c>
      <c r="M94" s="249">
        <f>+'Zał.1_WPF_bazowy'!M87</f>
        <v>0</v>
      </c>
      <c r="N94" s="249">
        <f>+'Zał.1_WPF_bazowy'!N87</f>
        <v>0</v>
      </c>
      <c r="O94" s="249">
        <f>+'Zał.1_WPF_bazowy'!O87</f>
        <v>0</v>
      </c>
      <c r="P94" s="249">
        <f>+'Zał.1_WPF_bazowy'!P87</f>
        <v>0</v>
      </c>
      <c r="Q94" s="249">
        <f>+'Zał.1_WPF_bazowy'!Q87</f>
        <v>0</v>
      </c>
      <c r="R94" s="249" t="e">
        <f>+'Zał.1_WPF_bazowy'!#REF!</f>
        <v>#REF!</v>
      </c>
      <c r="S94" s="249" t="e">
        <f>+'Zał.1_WPF_bazowy'!#REF!</f>
        <v>#REF!</v>
      </c>
      <c r="T94" s="249" t="e">
        <f>+'Zał.1_WPF_bazowy'!#REF!</f>
        <v>#REF!</v>
      </c>
      <c r="U94" s="249" t="e">
        <f>+'Zał.1_WPF_bazowy'!#REF!</f>
        <v>#REF!</v>
      </c>
      <c r="V94" s="249" t="e">
        <f>+'Zał.1_WPF_bazowy'!#REF!</f>
        <v>#REF!</v>
      </c>
      <c r="W94" s="249" t="e">
        <f>+'Zał.1_WPF_bazowy'!#REF!</f>
        <v>#REF!</v>
      </c>
      <c r="X94" s="249" t="e">
        <f>+'Zał.1_WPF_bazowy'!#REF!</f>
        <v>#REF!</v>
      </c>
      <c r="Y94" s="249" t="e">
        <f>+'Zał.1_WPF_bazowy'!#REF!</f>
        <v>#REF!</v>
      </c>
      <c r="Z94" s="249" t="e">
        <f>+'Zał.1_WPF_bazowy'!#REF!</f>
        <v>#REF!</v>
      </c>
      <c r="AA94" s="249" t="e">
        <f>+'Zał.1_WPF_bazowy'!#REF!</f>
        <v>#REF!</v>
      </c>
      <c r="AB94" s="249" t="e">
        <f>+'Zał.1_WPF_bazowy'!#REF!</f>
        <v>#REF!</v>
      </c>
      <c r="AC94" s="249" t="e">
        <f>+'Zał.1_WPF_bazowy'!#REF!</f>
        <v>#REF!</v>
      </c>
      <c r="AD94" s="249" t="e">
        <f>+'Zał.1_WPF_bazowy'!#REF!</f>
        <v>#REF!</v>
      </c>
      <c r="AE94" s="249" t="e">
        <f>+'Zał.1_WPF_bazowy'!#REF!</f>
        <v>#REF!</v>
      </c>
      <c r="AF94" s="249" t="e">
        <f>+'Zał.1_WPF_bazowy'!#REF!</f>
        <v>#REF!</v>
      </c>
      <c r="AG94" s="249" t="e">
        <f>+'Zał.1_WPF_bazowy'!#REF!</f>
        <v>#REF!</v>
      </c>
      <c r="AH94" s="249" t="e">
        <f>+'Zał.1_WPF_bazowy'!#REF!</f>
        <v>#REF!</v>
      </c>
      <c r="AI94" s="249" t="e">
        <f>+'Zał.1_WPF_bazowy'!#REF!</f>
        <v>#REF!</v>
      </c>
      <c r="AJ94" s="249" t="e">
        <f>+'Zał.1_WPF_bazowy'!#REF!</f>
        <v>#REF!</v>
      </c>
      <c r="AK94" s="249" t="e">
        <f>+'Zał.1_WPF_bazowy'!#REF!</f>
        <v>#REF!</v>
      </c>
      <c r="AL94" s="250" t="e">
        <f>+'Zał.1_WPF_bazowy'!#REF!</f>
        <v>#REF!</v>
      </c>
    </row>
    <row r="95" spans="1:38" s="241" customFormat="1" ht="24" outlineLevel="1">
      <c r="A95" s="1"/>
      <c r="B95" s="233">
        <v>13</v>
      </c>
      <c r="C95" s="234"/>
      <c r="D95" s="288" t="s">
        <v>226</v>
      </c>
      <c r="E95" s="266" t="s">
        <v>8</v>
      </c>
      <c r="F95" s="267" t="s">
        <v>8</v>
      </c>
      <c r="G95" s="267" t="s">
        <v>8</v>
      </c>
      <c r="H95" s="268" t="s">
        <v>8</v>
      </c>
      <c r="I95" s="269" t="s">
        <v>8</v>
      </c>
      <c r="J95" s="270" t="s">
        <v>8</v>
      </c>
      <c r="K95" s="270" t="s">
        <v>8</v>
      </c>
      <c r="L95" s="270" t="s">
        <v>8</v>
      </c>
      <c r="M95" s="270" t="s">
        <v>8</v>
      </c>
      <c r="N95" s="270" t="s">
        <v>8</v>
      </c>
      <c r="O95" s="270" t="s">
        <v>8</v>
      </c>
      <c r="P95" s="270" t="s">
        <v>8</v>
      </c>
      <c r="Q95" s="270" t="s">
        <v>8</v>
      </c>
      <c r="R95" s="270" t="s">
        <v>8</v>
      </c>
      <c r="S95" s="270" t="s">
        <v>8</v>
      </c>
      <c r="T95" s="270" t="s">
        <v>8</v>
      </c>
      <c r="U95" s="270" t="s">
        <v>8</v>
      </c>
      <c r="V95" s="270" t="s">
        <v>8</v>
      </c>
      <c r="W95" s="270" t="s">
        <v>8</v>
      </c>
      <c r="X95" s="270" t="s">
        <v>8</v>
      </c>
      <c r="Y95" s="270" t="s">
        <v>8</v>
      </c>
      <c r="Z95" s="270" t="s">
        <v>8</v>
      </c>
      <c r="AA95" s="270" t="s">
        <v>8</v>
      </c>
      <c r="AB95" s="270" t="s">
        <v>8</v>
      </c>
      <c r="AC95" s="270" t="s">
        <v>8</v>
      </c>
      <c r="AD95" s="270" t="s">
        <v>8</v>
      </c>
      <c r="AE95" s="270" t="s">
        <v>8</v>
      </c>
      <c r="AF95" s="270" t="s">
        <v>8</v>
      </c>
      <c r="AG95" s="270" t="s">
        <v>8</v>
      </c>
      <c r="AH95" s="270" t="s">
        <v>8</v>
      </c>
      <c r="AI95" s="270" t="s">
        <v>8</v>
      </c>
      <c r="AJ95" s="270" t="s">
        <v>8</v>
      </c>
      <c r="AK95" s="270" t="s">
        <v>8</v>
      </c>
      <c r="AL95" s="271" t="s">
        <v>8</v>
      </c>
    </row>
    <row r="96" spans="1:38" ht="24" outlineLevel="2">
      <c r="A96" s="1"/>
      <c r="B96" s="242" t="s">
        <v>227</v>
      </c>
      <c r="C96" s="243"/>
      <c r="D96" s="244" t="s">
        <v>229</v>
      </c>
      <c r="E96" s="245">
        <f>'Zał.1_WPF_bazowy'!E89</f>
        <v>0</v>
      </c>
      <c r="F96" s="246">
        <f>'Zał.1_WPF_bazowy'!F89</f>
        <v>0</v>
      </c>
      <c r="G96" s="246">
        <f>'Zał.1_WPF_bazowy'!G89</f>
        <v>0</v>
      </c>
      <c r="H96" s="247">
        <f>'Zał.1_WPF_bazowy'!H89</f>
        <v>0</v>
      </c>
      <c r="I96" s="289">
        <f>+IF(I10&lt;&gt;0,H96-(I98+I99+I100+I101),0)</f>
        <v>0</v>
      </c>
      <c r="J96" s="290">
        <f>+IF(J10&lt;&gt;0,I96-(J98+J99+J100+J101),0)</f>
        <v>0</v>
      </c>
      <c r="K96" s="290">
        <f>+IF(K10&lt;&gt;0,J96-(K98+K99+K100+K101),0)</f>
        <v>0</v>
      </c>
      <c r="L96" s="290">
        <f>+IF(L10&lt;&gt;0,K96-(L98+L99+L100+L101),0)</f>
        <v>0</v>
      </c>
      <c r="M96" s="290">
        <f>+IF(M10&lt;&gt;0,L96-(M98+M99+M100+M101),0)</f>
        <v>0</v>
      </c>
      <c r="N96" s="290">
        <f>+IF(N10&lt;&gt;0,M96-(N98+N99+N100+N101),0)</f>
        <v>0</v>
      </c>
      <c r="O96" s="290">
        <f>+IF(O10&lt;&gt;0,N96-(O98+O99+O100+O101),0)</f>
        <v>0</v>
      </c>
      <c r="P96" s="290">
        <f>+IF(P10&lt;&gt;0,O96-(P98+P99+P100+P101),0)</f>
        <v>0</v>
      </c>
      <c r="Q96" s="290">
        <f>+IF(Q10&lt;&gt;0,P96-(Q98+Q99+Q100+Q101),0)</f>
        <v>0</v>
      </c>
      <c r="R96" s="290" t="e">
        <f>+IF(R10&lt;&gt;0,Q96-(R98+R99+R100+R101),0)</f>
        <v>#REF!</v>
      </c>
      <c r="S96" s="290" t="e">
        <f>+IF(S10&lt;&gt;0,R96-(S98+S99+S100+S101),0)</f>
        <v>#REF!</v>
      </c>
      <c r="T96" s="290" t="e">
        <f>+IF(T10&lt;&gt;0,S96-(T98+T99+T100+T101),0)</f>
        <v>#REF!</v>
      </c>
      <c r="U96" s="290" t="e">
        <f>+IF(U10&lt;&gt;0,T96-(U98+U99+U100+U101),0)</f>
        <v>#REF!</v>
      </c>
      <c r="V96" s="290" t="e">
        <f>+IF(V10&lt;&gt;0,U96-(V98+V99+V100+V101),0)</f>
        <v>#REF!</v>
      </c>
      <c r="W96" s="290" t="e">
        <f>+IF(W10&lt;&gt;0,V96-(W98+W99+W100+W101),0)</f>
        <v>#REF!</v>
      </c>
      <c r="X96" s="290" t="e">
        <f>+IF(X10&lt;&gt;0,W96-(X98+X99+X100+X101),0)</f>
        <v>#REF!</v>
      </c>
      <c r="Y96" s="290" t="e">
        <f>+IF(Y10&lt;&gt;0,X96-(Y98+Y99+Y100+Y101),0)</f>
        <v>#REF!</v>
      </c>
      <c r="Z96" s="290" t="e">
        <f>+IF(Z10&lt;&gt;0,Y96-(Z98+Z99+Z100+Z101),0)</f>
        <v>#REF!</v>
      </c>
      <c r="AA96" s="290" t="e">
        <f>+IF(AA10&lt;&gt;0,Z96-(AA98+AA99+AA100+AA101),0)</f>
        <v>#REF!</v>
      </c>
      <c r="AB96" s="290" t="e">
        <f>+IF(AB10&lt;&gt;0,AA96-(AB98+AB99+AB100+AB101),0)</f>
        <v>#REF!</v>
      </c>
      <c r="AC96" s="290" t="e">
        <f>+IF(AC10&lt;&gt;0,AB96-(AC98+AC99+AC100+AC101),0)</f>
        <v>#REF!</v>
      </c>
      <c r="AD96" s="290" t="e">
        <f>+IF(AD10&lt;&gt;0,AC96-(AD98+AD99+AD100+AD101),0)</f>
        <v>#REF!</v>
      </c>
      <c r="AE96" s="290" t="e">
        <f>+IF(AE10&lt;&gt;0,AD96-(AE98+AE99+AE100+AE101),0)</f>
        <v>#REF!</v>
      </c>
      <c r="AF96" s="290" t="e">
        <f>+IF(AF10&lt;&gt;0,AE96-(AF98+AF99+AF100+AF101),0)</f>
        <v>#REF!</v>
      </c>
      <c r="AG96" s="290" t="e">
        <f>+IF(AG10&lt;&gt;0,AF96-(AG98+AG99+AG100+AG101),0)</f>
        <v>#REF!</v>
      </c>
      <c r="AH96" s="290" t="e">
        <f>+IF(AH10&lt;&gt;0,AG96-(AH98+AH99+AH100+AH101),0)</f>
        <v>#REF!</v>
      </c>
      <c r="AI96" s="290" t="e">
        <f>+IF(AI10&lt;&gt;0,AH96-(AI98+AI99+AI100+AI101),0)</f>
        <v>#REF!</v>
      </c>
      <c r="AJ96" s="290" t="e">
        <f>+IF(AJ10&lt;&gt;0,AI96-(AJ98+AJ99+AJ100+AJ101),0)</f>
        <v>#REF!</v>
      </c>
      <c r="AK96" s="290" t="e">
        <f>+IF(AK10&lt;&gt;0,AJ96-(AK98+AK99+AK100+AK101),0)</f>
        <v>#REF!</v>
      </c>
      <c r="AL96" s="291" t="e">
        <f>+IF(AL10&lt;&gt;0,AK96-(AL98+AL99+AL100+AL101),0)</f>
        <v>#REF!</v>
      </c>
    </row>
    <row r="97" spans="1:38" ht="24" outlineLevel="2">
      <c r="A97" s="1"/>
      <c r="B97" s="242" t="s">
        <v>230</v>
      </c>
      <c r="C97" s="243"/>
      <c r="D97" s="244" t="s">
        <v>232</v>
      </c>
      <c r="E97" s="245">
        <f>'Zał.1_WPF_bazowy'!E90</f>
        <v>0</v>
      </c>
      <c r="F97" s="246">
        <f>'Zał.1_WPF_bazowy'!F90</f>
        <v>0</v>
      </c>
      <c r="G97" s="246">
        <f>'Zał.1_WPF_bazowy'!G90</f>
        <v>0</v>
      </c>
      <c r="H97" s="247">
        <f>'Zał.1_WPF_bazowy'!H90</f>
        <v>0</v>
      </c>
      <c r="I97" s="248">
        <f>+'Zał.1_WPF_bazowy'!I90</f>
        <v>0</v>
      </c>
      <c r="J97" s="249">
        <f>+'Zał.1_WPF_bazowy'!J90</f>
        <v>0</v>
      </c>
      <c r="K97" s="249">
        <f>+'Zał.1_WPF_bazowy'!K90</f>
        <v>0</v>
      </c>
      <c r="L97" s="249">
        <f>+'Zał.1_WPF_bazowy'!L90</f>
        <v>0</v>
      </c>
      <c r="M97" s="249">
        <f>+'Zał.1_WPF_bazowy'!M90</f>
        <v>0</v>
      </c>
      <c r="N97" s="249">
        <f>+'Zał.1_WPF_bazowy'!N90</f>
        <v>0</v>
      </c>
      <c r="O97" s="249">
        <f>+'Zał.1_WPF_bazowy'!O90</f>
        <v>0</v>
      </c>
      <c r="P97" s="249">
        <f>+'Zał.1_WPF_bazowy'!P90</f>
        <v>0</v>
      </c>
      <c r="Q97" s="249">
        <f>+'Zał.1_WPF_bazowy'!Q90</f>
        <v>0</v>
      </c>
      <c r="R97" s="249" t="e">
        <f>+'Zał.1_WPF_bazowy'!#REF!</f>
        <v>#REF!</v>
      </c>
      <c r="S97" s="249" t="e">
        <f>+'Zał.1_WPF_bazowy'!#REF!</f>
        <v>#REF!</v>
      </c>
      <c r="T97" s="249" t="e">
        <f>+'Zał.1_WPF_bazowy'!#REF!</f>
        <v>#REF!</v>
      </c>
      <c r="U97" s="249" t="e">
        <f>+'Zał.1_WPF_bazowy'!#REF!</f>
        <v>#REF!</v>
      </c>
      <c r="V97" s="249" t="e">
        <f>+'Zał.1_WPF_bazowy'!#REF!</f>
        <v>#REF!</v>
      </c>
      <c r="W97" s="249" t="e">
        <f>+'Zał.1_WPF_bazowy'!#REF!</f>
        <v>#REF!</v>
      </c>
      <c r="X97" s="249" t="e">
        <f>+'Zał.1_WPF_bazowy'!#REF!</f>
        <v>#REF!</v>
      </c>
      <c r="Y97" s="249" t="e">
        <f>+'Zał.1_WPF_bazowy'!#REF!</f>
        <v>#REF!</v>
      </c>
      <c r="Z97" s="249" t="e">
        <f>+'Zał.1_WPF_bazowy'!#REF!</f>
        <v>#REF!</v>
      </c>
      <c r="AA97" s="249" t="e">
        <f>+'Zał.1_WPF_bazowy'!#REF!</f>
        <v>#REF!</v>
      </c>
      <c r="AB97" s="249" t="e">
        <f>+'Zał.1_WPF_bazowy'!#REF!</f>
        <v>#REF!</v>
      </c>
      <c r="AC97" s="249" t="e">
        <f>+'Zał.1_WPF_bazowy'!#REF!</f>
        <v>#REF!</v>
      </c>
      <c r="AD97" s="249" t="e">
        <f>+'Zał.1_WPF_bazowy'!#REF!</f>
        <v>#REF!</v>
      </c>
      <c r="AE97" s="249" t="e">
        <f>+'Zał.1_WPF_bazowy'!#REF!</f>
        <v>#REF!</v>
      </c>
      <c r="AF97" s="249" t="e">
        <f>+'Zał.1_WPF_bazowy'!#REF!</f>
        <v>#REF!</v>
      </c>
      <c r="AG97" s="249" t="e">
        <f>+'Zał.1_WPF_bazowy'!#REF!</f>
        <v>#REF!</v>
      </c>
      <c r="AH97" s="249" t="e">
        <f>+'Zał.1_WPF_bazowy'!#REF!</f>
        <v>#REF!</v>
      </c>
      <c r="AI97" s="249" t="e">
        <f>+'Zał.1_WPF_bazowy'!#REF!</f>
        <v>#REF!</v>
      </c>
      <c r="AJ97" s="249" t="e">
        <f>+'Zał.1_WPF_bazowy'!#REF!</f>
        <v>#REF!</v>
      </c>
      <c r="AK97" s="249" t="e">
        <f>+'Zał.1_WPF_bazowy'!#REF!</f>
        <v>#REF!</v>
      </c>
      <c r="AL97" s="250" t="e">
        <f>+'Zał.1_WPF_bazowy'!#REF!</f>
        <v>#REF!</v>
      </c>
    </row>
    <row r="98" spans="1:38" ht="14.25" outlineLevel="2">
      <c r="A98" s="1"/>
      <c r="B98" s="242" t="s">
        <v>233</v>
      </c>
      <c r="C98" s="243"/>
      <c r="D98" s="244" t="s">
        <v>235</v>
      </c>
      <c r="E98" s="245">
        <f>'Zał.1_WPF_bazowy'!E91</f>
        <v>0</v>
      </c>
      <c r="F98" s="246">
        <f>'Zał.1_WPF_bazowy'!F91</f>
        <v>0</v>
      </c>
      <c r="G98" s="246">
        <f>'Zał.1_WPF_bazowy'!G91</f>
        <v>0</v>
      </c>
      <c r="H98" s="247">
        <f>'Zał.1_WPF_bazowy'!H91</f>
        <v>0</v>
      </c>
      <c r="I98" s="248">
        <f>+'Zał.1_WPF_bazowy'!I91</f>
        <v>0</v>
      </c>
      <c r="J98" s="249">
        <f>+'Zał.1_WPF_bazowy'!J91</f>
        <v>0</v>
      </c>
      <c r="K98" s="249">
        <f>+'Zał.1_WPF_bazowy'!K91</f>
        <v>0</v>
      </c>
      <c r="L98" s="249">
        <f>+'Zał.1_WPF_bazowy'!L91</f>
        <v>0</v>
      </c>
      <c r="M98" s="249">
        <f>+'Zał.1_WPF_bazowy'!M91</f>
        <v>0</v>
      </c>
      <c r="N98" s="249">
        <f>+'Zał.1_WPF_bazowy'!N91</f>
        <v>0</v>
      </c>
      <c r="O98" s="249">
        <f>+'Zał.1_WPF_bazowy'!O91</f>
        <v>0</v>
      </c>
      <c r="P98" s="249">
        <f>+'Zał.1_WPF_bazowy'!P91</f>
        <v>0</v>
      </c>
      <c r="Q98" s="249">
        <f>+'Zał.1_WPF_bazowy'!Q91</f>
        <v>0</v>
      </c>
      <c r="R98" s="249" t="e">
        <f>+'Zał.1_WPF_bazowy'!#REF!</f>
        <v>#REF!</v>
      </c>
      <c r="S98" s="249" t="e">
        <f>+'Zał.1_WPF_bazowy'!#REF!</f>
        <v>#REF!</v>
      </c>
      <c r="T98" s="249" t="e">
        <f>+'Zał.1_WPF_bazowy'!#REF!</f>
        <v>#REF!</v>
      </c>
      <c r="U98" s="249" t="e">
        <f>+'Zał.1_WPF_bazowy'!#REF!</f>
        <v>#REF!</v>
      </c>
      <c r="V98" s="249" t="e">
        <f>+'Zał.1_WPF_bazowy'!#REF!</f>
        <v>#REF!</v>
      </c>
      <c r="W98" s="249" t="e">
        <f>+'Zał.1_WPF_bazowy'!#REF!</f>
        <v>#REF!</v>
      </c>
      <c r="X98" s="249" t="e">
        <f>+'Zał.1_WPF_bazowy'!#REF!</f>
        <v>#REF!</v>
      </c>
      <c r="Y98" s="249" t="e">
        <f>+'Zał.1_WPF_bazowy'!#REF!</f>
        <v>#REF!</v>
      </c>
      <c r="Z98" s="249" t="e">
        <f>+'Zał.1_WPF_bazowy'!#REF!</f>
        <v>#REF!</v>
      </c>
      <c r="AA98" s="249" t="e">
        <f>+'Zał.1_WPF_bazowy'!#REF!</f>
        <v>#REF!</v>
      </c>
      <c r="AB98" s="249" t="e">
        <f>+'Zał.1_WPF_bazowy'!#REF!</f>
        <v>#REF!</v>
      </c>
      <c r="AC98" s="249" t="e">
        <f>+'Zał.1_WPF_bazowy'!#REF!</f>
        <v>#REF!</v>
      </c>
      <c r="AD98" s="249" t="e">
        <f>+'Zał.1_WPF_bazowy'!#REF!</f>
        <v>#REF!</v>
      </c>
      <c r="AE98" s="249" t="e">
        <f>+'Zał.1_WPF_bazowy'!#REF!</f>
        <v>#REF!</v>
      </c>
      <c r="AF98" s="249" t="e">
        <f>+'Zał.1_WPF_bazowy'!#REF!</f>
        <v>#REF!</v>
      </c>
      <c r="AG98" s="249" t="e">
        <f>+'Zał.1_WPF_bazowy'!#REF!</f>
        <v>#REF!</v>
      </c>
      <c r="AH98" s="249" t="e">
        <f>+'Zał.1_WPF_bazowy'!#REF!</f>
        <v>#REF!</v>
      </c>
      <c r="AI98" s="249" t="e">
        <f>+'Zał.1_WPF_bazowy'!#REF!</f>
        <v>#REF!</v>
      </c>
      <c r="AJ98" s="249" t="e">
        <f>+'Zał.1_WPF_bazowy'!#REF!</f>
        <v>#REF!</v>
      </c>
      <c r="AK98" s="249" t="e">
        <f>+'Zał.1_WPF_bazowy'!#REF!</f>
        <v>#REF!</v>
      </c>
      <c r="AL98" s="250" t="e">
        <f>+'Zał.1_WPF_bazowy'!#REF!</f>
        <v>#REF!</v>
      </c>
    </row>
    <row r="99" spans="1:38" ht="24" outlineLevel="2">
      <c r="A99" s="1"/>
      <c r="B99" s="242" t="s">
        <v>236</v>
      </c>
      <c r="C99" s="243"/>
      <c r="D99" s="244" t="s">
        <v>238</v>
      </c>
      <c r="E99" s="245">
        <f>'Zał.1_WPF_bazowy'!E92</f>
        <v>0</v>
      </c>
      <c r="F99" s="246">
        <f>'Zał.1_WPF_bazowy'!F92</f>
        <v>0</v>
      </c>
      <c r="G99" s="246">
        <f>'Zał.1_WPF_bazowy'!G92</f>
        <v>0</v>
      </c>
      <c r="H99" s="247">
        <f>'Zał.1_WPF_bazowy'!H92</f>
        <v>0</v>
      </c>
      <c r="I99" s="248">
        <f>+'Zał.1_WPF_bazowy'!I92</f>
        <v>0</v>
      </c>
      <c r="J99" s="249">
        <f>+'Zał.1_WPF_bazowy'!J92</f>
        <v>0</v>
      </c>
      <c r="K99" s="249">
        <f>+'Zał.1_WPF_bazowy'!K92</f>
        <v>0</v>
      </c>
      <c r="L99" s="249">
        <f>+'Zał.1_WPF_bazowy'!L92</f>
        <v>0</v>
      </c>
      <c r="M99" s="249">
        <f>+'Zał.1_WPF_bazowy'!M92</f>
        <v>0</v>
      </c>
      <c r="N99" s="249">
        <f>+'Zał.1_WPF_bazowy'!N92</f>
        <v>0</v>
      </c>
      <c r="O99" s="249">
        <f>+'Zał.1_WPF_bazowy'!O92</f>
        <v>0</v>
      </c>
      <c r="P99" s="249">
        <f>+'Zał.1_WPF_bazowy'!P92</f>
        <v>0</v>
      </c>
      <c r="Q99" s="249">
        <f>+'Zał.1_WPF_bazowy'!Q92</f>
        <v>0</v>
      </c>
      <c r="R99" s="249" t="e">
        <f>+'Zał.1_WPF_bazowy'!#REF!</f>
        <v>#REF!</v>
      </c>
      <c r="S99" s="249" t="e">
        <f>+'Zał.1_WPF_bazowy'!#REF!</f>
        <v>#REF!</v>
      </c>
      <c r="T99" s="249" t="e">
        <f>+'Zał.1_WPF_bazowy'!#REF!</f>
        <v>#REF!</v>
      </c>
      <c r="U99" s="249" t="e">
        <f>+'Zał.1_WPF_bazowy'!#REF!</f>
        <v>#REF!</v>
      </c>
      <c r="V99" s="249" t="e">
        <f>+'Zał.1_WPF_bazowy'!#REF!</f>
        <v>#REF!</v>
      </c>
      <c r="W99" s="249" t="e">
        <f>+'Zał.1_WPF_bazowy'!#REF!</f>
        <v>#REF!</v>
      </c>
      <c r="X99" s="249" t="e">
        <f>+'Zał.1_WPF_bazowy'!#REF!</f>
        <v>#REF!</v>
      </c>
      <c r="Y99" s="249" t="e">
        <f>+'Zał.1_WPF_bazowy'!#REF!</f>
        <v>#REF!</v>
      </c>
      <c r="Z99" s="249" t="e">
        <f>+'Zał.1_WPF_bazowy'!#REF!</f>
        <v>#REF!</v>
      </c>
      <c r="AA99" s="249" t="e">
        <f>+'Zał.1_WPF_bazowy'!#REF!</f>
        <v>#REF!</v>
      </c>
      <c r="AB99" s="249" t="e">
        <f>+'Zał.1_WPF_bazowy'!#REF!</f>
        <v>#REF!</v>
      </c>
      <c r="AC99" s="249" t="e">
        <f>+'Zał.1_WPF_bazowy'!#REF!</f>
        <v>#REF!</v>
      </c>
      <c r="AD99" s="249" t="e">
        <f>+'Zał.1_WPF_bazowy'!#REF!</f>
        <v>#REF!</v>
      </c>
      <c r="AE99" s="249" t="e">
        <f>+'Zał.1_WPF_bazowy'!#REF!</f>
        <v>#REF!</v>
      </c>
      <c r="AF99" s="249" t="e">
        <f>+'Zał.1_WPF_bazowy'!#REF!</f>
        <v>#REF!</v>
      </c>
      <c r="AG99" s="249" t="e">
        <f>+'Zał.1_WPF_bazowy'!#REF!</f>
        <v>#REF!</v>
      </c>
      <c r="AH99" s="249" t="e">
        <f>+'Zał.1_WPF_bazowy'!#REF!</f>
        <v>#REF!</v>
      </c>
      <c r="AI99" s="249" t="e">
        <f>+'Zał.1_WPF_bazowy'!#REF!</f>
        <v>#REF!</v>
      </c>
      <c r="AJ99" s="249" t="e">
        <f>+'Zał.1_WPF_bazowy'!#REF!</f>
        <v>#REF!</v>
      </c>
      <c r="AK99" s="249" t="e">
        <f>+'Zał.1_WPF_bazowy'!#REF!</f>
        <v>#REF!</v>
      </c>
      <c r="AL99" s="250" t="e">
        <f>+'Zał.1_WPF_bazowy'!#REF!</f>
        <v>#REF!</v>
      </c>
    </row>
    <row r="100" spans="1:38" ht="24" outlineLevel="2">
      <c r="A100" s="1"/>
      <c r="B100" s="242" t="s">
        <v>239</v>
      </c>
      <c r="C100" s="243"/>
      <c r="D100" s="244" t="s">
        <v>241</v>
      </c>
      <c r="E100" s="245">
        <f>'Zał.1_WPF_bazowy'!E93</f>
        <v>0</v>
      </c>
      <c r="F100" s="246">
        <f>'Zał.1_WPF_bazowy'!F93</f>
        <v>0</v>
      </c>
      <c r="G100" s="246">
        <f>'Zał.1_WPF_bazowy'!G93</f>
        <v>0</v>
      </c>
      <c r="H100" s="247">
        <f>'Zał.1_WPF_bazowy'!H93</f>
        <v>0</v>
      </c>
      <c r="I100" s="248">
        <f>+'Zał.1_WPF_bazowy'!I93</f>
        <v>0</v>
      </c>
      <c r="J100" s="249">
        <f>+'Zał.1_WPF_bazowy'!J93</f>
        <v>0</v>
      </c>
      <c r="K100" s="249">
        <f>+'Zał.1_WPF_bazowy'!K93</f>
        <v>0</v>
      </c>
      <c r="L100" s="249">
        <f>+'Zał.1_WPF_bazowy'!L93</f>
        <v>0</v>
      </c>
      <c r="M100" s="249">
        <f>+'Zał.1_WPF_bazowy'!M93</f>
        <v>0</v>
      </c>
      <c r="N100" s="249">
        <f>+'Zał.1_WPF_bazowy'!N93</f>
        <v>0</v>
      </c>
      <c r="O100" s="249">
        <f>+'Zał.1_WPF_bazowy'!O93</f>
        <v>0</v>
      </c>
      <c r="P100" s="249">
        <f>+'Zał.1_WPF_bazowy'!P93</f>
        <v>0</v>
      </c>
      <c r="Q100" s="249">
        <f>+'Zał.1_WPF_bazowy'!Q93</f>
        <v>0</v>
      </c>
      <c r="R100" s="249" t="e">
        <f>+'Zał.1_WPF_bazowy'!#REF!</f>
        <v>#REF!</v>
      </c>
      <c r="S100" s="249" t="e">
        <f>+'Zał.1_WPF_bazowy'!#REF!</f>
        <v>#REF!</v>
      </c>
      <c r="T100" s="249" t="e">
        <f>+'Zał.1_WPF_bazowy'!#REF!</f>
        <v>#REF!</v>
      </c>
      <c r="U100" s="249" t="e">
        <f>+'Zał.1_WPF_bazowy'!#REF!</f>
        <v>#REF!</v>
      </c>
      <c r="V100" s="249" t="e">
        <f>+'Zał.1_WPF_bazowy'!#REF!</f>
        <v>#REF!</v>
      </c>
      <c r="W100" s="249" t="e">
        <f>+'Zał.1_WPF_bazowy'!#REF!</f>
        <v>#REF!</v>
      </c>
      <c r="X100" s="249" t="e">
        <f>+'Zał.1_WPF_bazowy'!#REF!</f>
        <v>#REF!</v>
      </c>
      <c r="Y100" s="249" t="e">
        <f>+'Zał.1_WPF_bazowy'!#REF!</f>
        <v>#REF!</v>
      </c>
      <c r="Z100" s="249" t="e">
        <f>+'Zał.1_WPF_bazowy'!#REF!</f>
        <v>#REF!</v>
      </c>
      <c r="AA100" s="249" t="e">
        <f>+'Zał.1_WPF_bazowy'!#REF!</f>
        <v>#REF!</v>
      </c>
      <c r="AB100" s="249" t="e">
        <f>+'Zał.1_WPF_bazowy'!#REF!</f>
        <v>#REF!</v>
      </c>
      <c r="AC100" s="249" t="e">
        <f>+'Zał.1_WPF_bazowy'!#REF!</f>
        <v>#REF!</v>
      </c>
      <c r="AD100" s="249" t="e">
        <f>+'Zał.1_WPF_bazowy'!#REF!</f>
        <v>#REF!</v>
      </c>
      <c r="AE100" s="249" t="e">
        <f>+'Zał.1_WPF_bazowy'!#REF!</f>
        <v>#REF!</v>
      </c>
      <c r="AF100" s="249" t="e">
        <f>+'Zał.1_WPF_bazowy'!#REF!</f>
        <v>#REF!</v>
      </c>
      <c r="AG100" s="249" t="e">
        <f>+'Zał.1_WPF_bazowy'!#REF!</f>
        <v>#REF!</v>
      </c>
      <c r="AH100" s="249" t="e">
        <f>+'Zał.1_WPF_bazowy'!#REF!</f>
        <v>#REF!</v>
      </c>
      <c r="AI100" s="249" t="e">
        <f>+'Zał.1_WPF_bazowy'!#REF!</f>
        <v>#REF!</v>
      </c>
      <c r="AJ100" s="249" t="e">
        <f>+'Zał.1_WPF_bazowy'!#REF!</f>
        <v>#REF!</v>
      </c>
      <c r="AK100" s="249" t="e">
        <f>+'Zał.1_WPF_bazowy'!#REF!</f>
        <v>#REF!</v>
      </c>
      <c r="AL100" s="250" t="e">
        <f>+'Zał.1_WPF_bazowy'!#REF!</f>
        <v>#REF!</v>
      </c>
    </row>
    <row r="101" spans="1:38" ht="24" outlineLevel="2">
      <c r="A101" s="1"/>
      <c r="B101" s="242" t="s">
        <v>242</v>
      </c>
      <c r="C101" s="243"/>
      <c r="D101" s="244" t="s">
        <v>244</v>
      </c>
      <c r="E101" s="245">
        <f>'Zał.1_WPF_bazowy'!E94</f>
        <v>0</v>
      </c>
      <c r="F101" s="246">
        <f>'Zał.1_WPF_bazowy'!F94</f>
        <v>0</v>
      </c>
      <c r="G101" s="246">
        <f>'Zał.1_WPF_bazowy'!G94</f>
        <v>0</v>
      </c>
      <c r="H101" s="247">
        <f>'Zał.1_WPF_bazowy'!H94</f>
        <v>0</v>
      </c>
      <c r="I101" s="248">
        <f>+'Zał.1_WPF_bazowy'!I94</f>
        <v>0</v>
      </c>
      <c r="J101" s="249">
        <f>+'Zał.1_WPF_bazowy'!J94</f>
        <v>0</v>
      </c>
      <c r="K101" s="249">
        <f>+'Zał.1_WPF_bazowy'!K94</f>
        <v>0</v>
      </c>
      <c r="L101" s="249">
        <f>+'Zał.1_WPF_bazowy'!L94</f>
        <v>0</v>
      </c>
      <c r="M101" s="249">
        <f>+'Zał.1_WPF_bazowy'!M94</f>
        <v>0</v>
      </c>
      <c r="N101" s="249">
        <f>+'Zał.1_WPF_bazowy'!N94</f>
        <v>0</v>
      </c>
      <c r="O101" s="249">
        <f>+'Zał.1_WPF_bazowy'!O94</f>
        <v>0</v>
      </c>
      <c r="P101" s="249">
        <f>+'Zał.1_WPF_bazowy'!P94</f>
        <v>0</v>
      </c>
      <c r="Q101" s="249">
        <f>+'Zał.1_WPF_bazowy'!Q94</f>
        <v>0</v>
      </c>
      <c r="R101" s="249" t="e">
        <f>+'Zał.1_WPF_bazowy'!#REF!</f>
        <v>#REF!</v>
      </c>
      <c r="S101" s="249" t="e">
        <f>+'Zał.1_WPF_bazowy'!#REF!</f>
        <v>#REF!</v>
      </c>
      <c r="T101" s="249" t="e">
        <f>+'Zał.1_WPF_bazowy'!#REF!</f>
        <v>#REF!</v>
      </c>
      <c r="U101" s="249" t="e">
        <f>+'Zał.1_WPF_bazowy'!#REF!</f>
        <v>#REF!</v>
      </c>
      <c r="V101" s="249" t="e">
        <f>+'Zał.1_WPF_bazowy'!#REF!</f>
        <v>#REF!</v>
      </c>
      <c r="W101" s="249" t="e">
        <f>+'Zał.1_WPF_bazowy'!#REF!</f>
        <v>#REF!</v>
      </c>
      <c r="X101" s="249" t="e">
        <f>+'Zał.1_WPF_bazowy'!#REF!</f>
        <v>#REF!</v>
      </c>
      <c r="Y101" s="249" t="e">
        <f>+'Zał.1_WPF_bazowy'!#REF!</f>
        <v>#REF!</v>
      </c>
      <c r="Z101" s="249" t="e">
        <f>+'Zał.1_WPF_bazowy'!#REF!</f>
        <v>#REF!</v>
      </c>
      <c r="AA101" s="249" t="e">
        <f>+'Zał.1_WPF_bazowy'!#REF!</f>
        <v>#REF!</v>
      </c>
      <c r="AB101" s="249" t="e">
        <f>+'Zał.1_WPF_bazowy'!#REF!</f>
        <v>#REF!</v>
      </c>
      <c r="AC101" s="249" t="e">
        <f>+'Zał.1_WPF_bazowy'!#REF!</f>
        <v>#REF!</v>
      </c>
      <c r="AD101" s="249" t="e">
        <f>+'Zał.1_WPF_bazowy'!#REF!</f>
        <v>#REF!</v>
      </c>
      <c r="AE101" s="249" t="e">
        <f>+'Zał.1_WPF_bazowy'!#REF!</f>
        <v>#REF!</v>
      </c>
      <c r="AF101" s="249" t="e">
        <f>+'Zał.1_WPF_bazowy'!#REF!</f>
        <v>#REF!</v>
      </c>
      <c r="AG101" s="249" t="e">
        <f>+'Zał.1_WPF_bazowy'!#REF!</f>
        <v>#REF!</v>
      </c>
      <c r="AH101" s="249" t="e">
        <f>+'Zał.1_WPF_bazowy'!#REF!</f>
        <v>#REF!</v>
      </c>
      <c r="AI101" s="249" t="e">
        <f>+'Zał.1_WPF_bazowy'!#REF!</f>
        <v>#REF!</v>
      </c>
      <c r="AJ101" s="249" t="e">
        <f>+'Zał.1_WPF_bazowy'!#REF!</f>
        <v>#REF!</v>
      </c>
      <c r="AK101" s="249" t="e">
        <f>+'Zał.1_WPF_bazowy'!#REF!</f>
        <v>#REF!</v>
      </c>
      <c r="AL101" s="250" t="e">
        <f>+'Zał.1_WPF_bazowy'!#REF!</f>
        <v>#REF!</v>
      </c>
    </row>
    <row r="102" spans="1:38" ht="24" outlineLevel="2">
      <c r="A102" s="1"/>
      <c r="B102" s="242" t="s">
        <v>245</v>
      </c>
      <c r="C102" s="243"/>
      <c r="D102" s="244" t="s">
        <v>247</v>
      </c>
      <c r="E102" s="245">
        <f>'Zał.1_WPF_bazowy'!E95</f>
        <v>0</v>
      </c>
      <c r="F102" s="246">
        <f>'Zał.1_WPF_bazowy'!F95</f>
        <v>0</v>
      </c>
      <c r="G102" s="246">
        <f>'Zał.1_WPF_bazowy'!G95</f>
        <v>0</v>
      </c>
      <c r="H102" s="247">
        <f>'Zał.1_WPF_bazowy'!H95</f>
        <v>0</v>
      </c>
      <c r="I102" s="248">
        <f>+'Zał.1_WPF_bazowy'!I95</f>
        <v>0</v>
      </c>
      <c r="J102" s="249">
        <f>+'Zał.1_WPF_bazowy'!J95</f>
        <v>0</v>
      </c>
      <c r="K102" s="249">
        <f>+'Zał.1_WPF_bazowy'!K95</f>
        <v>0</v>
      </c>
      <c r="L102" s="249">
        <f>+'Zał.1_WPF_bazowy'!L95</f>
        <v>0</v>
      </c>
      <c r="M102" s="249">
        <f>+'Zał.1_WPF_bazowy'!M95</f>
        <v>0</v>
      </c>
      <c r="N102" s="249">
        <f>+'Zał.1_WPF_bazowy'!N95</f>
        <v>0</v>
      </c>
      <c r="O102" s="249">
        <f>+'Zał.1_WPF_bazowy'!O95</f>
        <v>0</v>
      </c>
      <c r="P102" s="249">
        <f>+'Zał.1_WPF_bazowy'!P95</f>
        <v>0</v>
      </c>
      <c r="Q102" s="249">
        <f>+'Zał.1_WPF_bazowy'!Q95</f>
        <v>0</v>
      </c>
      <c r="R102" s="249" t="e">
        <f>+'Zał.1_WPF_bazowy'!#REF!</f>
        <v>#REF!</v>
      </c>
      <c r="S102" s="249" t="e">
        <f>+'Zał.1_WPF_bazowy'!#REF!</f>
        <v>#REF!</v>
      </c>
      <c r="T102" s="249" t="e">
        <f>+'Zał.1_WPF_bazowy'!#REF!</f>
        <v>#REF!</v>
      </c>
      <c r="U102" s="249" t="e">
        <f>+'Zał.1_WPF_bazowy'!#REF!</f>
        <v>#REF!</v>
      </c>
      <c r="V102" s="249" t="e">
        <f>+'Zał.1_WPF_bazowy'!#REF!</f>
        <v>#REF!</v>
      </c>
      <c r="W102" s="249" t="e">
        <f>+'Zał.1_WPF_bazowy'!#REF!</f>
        <v>#REF!</v>
      </c>
      <c r="X102" s="249" t="e">
        <f>+'Zał.1_WPF_bazowy'!#REF!</f>
        <v>#REF!</v>
      </c>
      <c r="Y102" s="249" t="e">
        <f>+'Zał.1_WPF_bazowy'!#REF!</f>
        <v>#REF!</v>
      </c>
      <c r="Z102" s="249" t="e">
        <f>+'Zał.1_WPF_bazowy'!#REF!</f>
        <v>#REF!</v>
      </c>
      <c r="AA102" s="249" t="e">
        <f>+'Zał.1_WPF_bazowy'!#REF!</f>
        <v>#REF!</v>
      </c>
      <c r="AB102" s="249" t="e">
        <f>+'Zał.1_WPF_bazowy'!#REF!</f>
        <v>#REF!</v>
      </c>
      <c r="AC102" s="249" t="e">
        <f>+'Zał.1_WPF_bazowy'!#REF!</f>
        <v>#REF!</v>
      </c>
      <c r="AD102" s="249" t="e">
        <f>+'Zał.1_WPF_bazowy'!#REF!</f>
        <v>#REF!</v>
      </c>
      <c r="AE102" s="249" t="e">
        <f>+'Zał.1_WPF_bazowy'!#REF!</f>
        <v>#REF!</v>
      </c>
      <c r="AF102" s="249" t="e">
        <f>+'Zał.1_WPF_bazowy'!#REF!</f>
        <v>#REF!</v>
      </c>
      <c r="AG102" s="249" t="e">
        <f>+'Zał.1_WPF_bazowy'!#REF!</f>
        <v>#REF!</v>
      </c>
      <c r="AH102" s="249" t="e">
        <f>+'Zał.1_WPF_bazowy'!#REF!</f>
        <v>#REF!</v>
      </c>
      <c r="AI102" s="249" t="e">
        <f>+'Zał.1_WPF_bazowy'!#REF!</f>
        <v>#REF!</v>
      </c>
      <c r="AJ102" s="249" t="e">
        <f>+'Zał.1_WPF_bazowy'!#REF!</f>
        <v>#REF!</v>
      </c>
      <c r="AK102" s="249" t="e">
        <f>+'Zał.1_WPF_bazowy'!#REF!</f>
        <v>#REF!</v>
      </c>
      <c r="AL102" s="250" t="e">
        <f>+'Zał.1_WPF_bazowy'!#REF!</f>
        <v>#REF!</v>
      </c>
    </row>
    <row r="103" spans="1:38" s="241" customFormat="1" ht="15" outlineLevel="1">
      <c r="A103" s="1" t="s">
        <v>8</v>
      </c>
      <c r="B103" s="233">
        <v>14</v>
      </c>
      <c r="C103" s="234"/>
      <c r="D103" s="235" t="s">
        <v>248</v>
      </c>
      <c r="E103" s="266" t="s">
        <v>8</v>
      </c>
      <c r="F103" s="267" t="s">
        <v>8</v>
      </c>
      <c r="G103" s="267" t="s">
        <v>8</v>
      </c>
      <c r="H103" s="268" t="s">
        <v>8</v>
      </c>
      <c r="I103" s="269" t="s">
        <v>8</v>
      </c>
      <c r="J103" s="270" t="s">
        <v>8</v>
      </c>
      <c r="K103" s="270" t="s">
        <v>8</v>
      </c>
      <c r="L103" s="270" t="s">
        <v>8</v>
      </c>
      <c r="M103" s="270" t="s">
        <v>8</v>
      </c>
      <c r="N103" s="270" t="s">
        <v>8</v>
      </c>
      <c r="O103" s="270" t="s">
        <v>8</v>
      </c>
      <c r="P103" s="270" t="s">
        <v>8</v>
      </c>
      <c r="Q103" s="270" t="s">
        <v>8</v>
      </c>
      <c r="R103" s="270" t="s">
        <v>8</v>
      </c>
      <c r="S103" s="270" t="s">
        <v>8</v>
      </c>
      <c r="T103" s="270" t="s">
        <v>8</v>
      </c>
      <c r="U103" s="270" t="s">
        <v>8</v>
      </c>
      <c r="V103" s="270" t="s">
        <v>8</v>
      </c>
      <c r="W103" s="270" t="s">
        <v>8</v>
      </c>
      <c r="X103" s="270" t="s">
        <v>8</v>
      </c>
      <c r="Y103" s="270" t="s">
        <v>8</v>
      </c>
      <c r="Z103" s="270" t="s">
        <v>8</v>
      </c>
      <c r="AA103" s="270" t="s">
        <v>8</v>
      </c>
      <c r="AB103" s="270" t="s">
        <v>8</v>
      </c>
      <c r="AC103" s="270" t="s">
        <v>8</v>
      </c>
      <c r="AD103" s="270" t="s">
        <v>8</v>
      </c>
      <c r="AE103" s="270" t="s">
        <v>8</v>
      </c>
      <c r="AF103" s="270" t="s">
        <v>8</v>
      </c>
      <c r="AG103" s="270" t="s">
        <v>8</v>
      </c>
      <c r="AH103" s="270" t="s">
        <v>8</v>
      </c>
      <c r="AI103" s="270" t="s">
        <v>8</v>
      </c>
      <c r="AJ103" s="270" t="s">
        <v>8</v>
      </c>
      <c r="AK103" s="270" t="s">
        <v>8</v>
      </c>
      <c r="AL103" s="271" t="s">
        <v>8</v>
      </c>
    </row>
    <row r="104" spans="1:38" ht="24" outlineLevel="2">
      <c r="A104" s="1" t="s">
        <v>8</v>
      </c>
      <c r="B104" s="242" t="s">
        <v>249</v>
      </c>
      <c r="C104" s="243"/>
      <c r="D104" s="244" t="s">
        <v>251</v>
      </c>
      <c r="E104" s="245">
        <f>'Zał.1_WPF_bazowy'!E97</f>
        <v>4709034.88</v>
      </c>
      <c r="F104" s="246">
        <f>'Zał.1_WPF_bazowy'!F97</f>
        <v>2026525.28</v>
      </c>
      <c r="G104" s="246">
        <f>'Zał.1_WPF_bazowy'!G97</f>
        <v>915692</v>
      </c>
      <c r="H104" s="247">
        <f>'Zał.1_WPF_bazowy'!H97</f>
        <v>915692</v>
      </c>
      <c r="I104" s="248">
        <f>+'Zał.1_WPF_bazowy'!I97</f>
        <v>1215692</v>
      </c>
      <c r="J104" s="249">
        <f>+'Zał.1_WPF_bazowy'!J97</f>
        <v>1478204</v>
      </c>
      <c r="K104" s="249">
        <f>+'Zał.1_WPF_bazowy'!K97</f>
        <v>1678204</v>
      </c>
      <c r="L104" s="249">
        <f>+'Zał.1_WPF_bazowy'!L97</f>
        <v>1860004</v>
      </c>
      <c r="M104" s="249">
        <f>+'Zał.1_WPF_bazowy'!M97</f>
        <v>2210004</v>
      </c>
      <c r="N104" s="249">
        <f>+'Zał.1_WPF_bazowy'!N97</f>
        <v>2210004</v>
      </c>
      <c r="O104" s="249">
        <f>+'Zał.1_WPF_bazowy'!O97</f>
        <v>2250004</v>
      </c>
      <c r="P104" s="249">
        <f>+'Zał.1_WPF_bazowy'!P97</f>
        <v>2418000</v>
      </c>
      <c r="Q104" s="249">
        <f>+'Zał.1_WPF_bazowy'!Q97</f>
        <v>1250000</v>
      </c>
      <c r="R104" s="249" t="e">
        <f>+'Zał.1_WPF_bazowy'!#REF!</f>
        <v>#REF!</v>
      </c>
      <c r="S104" s="249" t="e">
        <f>+'Zał.1_WPF_bazowy'!#REF!</f>
        <v>#REF!</v>
      </c>
      <c r="T104" s="249" t="e">
        <f>+'Zał.1_WPF_bazowy'!#REF!</f>
        <v>#REF!</v>
      </c>
      <c r="U104" s="249" t="e">
        <f>+'Zał.1_WPF_bazowy'!#REF!</f>
        <v>#REF!</v>
      </c>
      <c r="V104" s="249" t="e">
        <f>+'Zał.1_WPF_bazowy'!#REF!</f>
        <v>#REF!</v>
      </c>
      <c r="W104" s="249" t="e">
        <f>+'Zał.1_WPF_bazowy'!#REF!</f>
        <v>#REF!</v>
      </c>
      <c r="X104" s="249" t="e">
        <f>+'Zał.1_WPF_bazowy'!#REF!</f>
        <v>#REF!</v>
      </c>
      <c r="Y104" s="249" t="e">
        <f>+'Zał.1_WPF_bazowy'!#REF!</f>
        <v>#REF!</v>
      </c>
      <c r="Z104" s="249" t="e">
        <f>+'Zał.1_WPF_bazowy'!#REF!</f>
        <v>#REF!</v>
      </c>
      <c r="AA104" s="249" t="e">
        <f>+'Zał.1_WPF_bazowy'!#REF!</f>
        <v>#REF!</v>
      </c>
      <c r="AB104" s="249" t="e">
        <f>+'Zał.1_WPF_bazowy'!#REF!</f>
        <v>#REF!</v>
      </c>
      <c r="AC104" s="249" t="e">
        <f>+'Zał.1_WPF_bazowy'!#REF!</f>
        <v>#REF!</v>
      </c>
      <c r="AD104" s="249" t="e">
        <f>+'Zał.1_WPF_bazowy'!#REF!</f>
        <v>#REF!</v>
      </c>
      <c r="AE104" s="249" t="e">
        <f>+'Zał.1_WPF_bazowy'!#REF!</f>
        <v>#REF!</v>
      </c>
      <c r="AF104" s="249" t="e">
        <f>+'Zał.1_WPF_bazowy'!#REF!</f>
        <v>#REF!</v>
      </c>
      <c r="AG104" s="249" t="e">
        <f>+'Zał.1_WPF_bazowy'!#REF!</f>
        <v>#REF!</v>
      </c>
      <c r="AH104" s="249" t="e">
        <f>+'Zał.1_WPF_bazowy'!#REF!</f>
        <v>#REF!</v>
      </c>
      <c r="AI104" s="249" t="e">
        <f>+'Zał.1_WPF_bazowy'!#REF!</f>
        <v>#REF!</v>
      </c>
      <c r="AJ104" s="249" t="e">
        <f>+'Zał.1_WPF_bazowy'!#REF!</f>
        <v>#REF!</v>
      </c>
      <c r="AK104" s="249" t="e">
        <f>+'Zał.1_WPF_bazowy'!#REF!</f>
        <v>#REF!</v>
      </c>
      <c r="AL104" s="250" t="e">
        <f>+'Zał.1_WPF_bazowy'!#REF!</f>
        <v>#REF!</v>
      </c>
    </row>
    <row r="105" spans="1:38" ht="14.25" outlineLevel="2">
      <c r="A105" s="1" t="s">
        <v>8</v>
      </c>
      <c r="B105" s="242" t="s">
        <v>252</v>
      </c>
      <c r="C105" s="243"/>
      <c r="D105" s="244" t="s">
        <v>254</v>
      </c>
      <c r="E105" s="245">
        <f>'Zał.1_WPF_bazowy'!E98</f>
        <v>0</v>
      </c>
      <c r="F105" s="246">
        <f>'Zał.1_WPF_bazowy'!F98</f>
        <v>0</v>
      </c>
      <c r="G105" s="246">
        <f>'Zał.1_WPF_bazowy'!G98</f>
        <v>0</v>
      </c>
      <c r="H105" s="247">
        <f>'Zał.1_WPF_bazowy'!H98</f>
        <v>0</v>
      </c>
      <c r="I105" s="248">
        <f>+'Zał.1_WPF_bazowy'!I98</f>
        <v>0</v>
      </c>
      <c r="J105" s="249">
        <f>+'Zał.1_WPF_bazowy'!J98</f>
        <v>0</v>
      </c>
      <c r="K105" s="249">
        <f>+'Zał.1_WPF_bazowy'!K98</f>
        <v>0</v>
      </c>
      <c r="L105" s="249">
        <f>+'Zał.1_WPF_bazowy'!L98</f>
        <v>0</v>
      </c>
      <c r="M105" s="249">
        <f>+'Zał.1_WPF_bazowy'!M98</f>
        <v>0</v>
      </c>
      <c r="N105" s="249">
        <f>+'Zał.1_WPF_bazowy'!N98</f>
        <v>0</v>
      </c>
      <c r="O105" s="249">
        <f>+'Zał.1_WPF_bazowy'!O98</f>
        <v>0</v>
      </c>
      <c r="P105" s="249">
        <f>+'Zał.1_WPF_bazowy'!P98</f>
        <v>0</v>
      </c>
      <c r="Q105" s="249">
        <f>+'Zał.1_WPF_bazowy'!Q98</f>
        <v>0</v>
      </c>
      <c r="R105" s="249" t="e">
        <f>+'Zał.1_WPF_bazowy'!#REF!</f>
        <v>#REF!</v>
      </c>
      <c r="S105" s="249" t="e">
        <f>+'Zał.1_WPF_bazowy'!#REF!</f>
        <v>#REF!</v>
      </c>
      <c r="T105" s="249" t="e">
        <f>+'Zał.1_WPF_bazowy'!#REF!</f>
        <v>#REF!</v>
      </c>
      <c r="U105" s="249" t="e">
        <f>+'Zał.1_WPF_bazowy'!#REF!</f>
        <v>#REF!</v>
      </c>
      <c r="V105" s="249" t="e">
        <f>+'Zał.1_WPF_bazowy'!#REF!</f>
        <v>#REF!</v>
      </c>
      <c r="W105" s="249" t="e">
        <f>+'Zał.1_WPF_bazowy'!#REF!</f>
        <v>#REF!</v>
      </c>
      <c r="X105" s="249" t="e">
        <f>+'Zał.1_WPF_bazowy'!#REF!</f>
        <v>#REF!</v>
      </c>
      <c r="Y105" s="249" t="e">
        <f>+'Zał.1_WPF_bazowy'!#REF!</f>
        <v>#REF!</v>
      </c>
      <c r="Z105" s="249" t="e">
        <f>+'Zał.1_WPF_bazowy'!#REF!</f>
        <v>#REF!</v>
      </c>
      <c r="AA105" s="249" t="e">
        <f>+'Zał.1_WPF_bazowy'!#REF!</f>
        <v>#REF!</v>
      </c>
      <c r="AB105" s="249" t="e">
        <f>+'Zał.1_WPF_bazowy'!#REF!</f>
        <v>#REF!</v>
      </c>
      <c r="AC105" s="249" t="e">
        <f>+'Zał.1_WPF_bazowy'!#REF!</f>
        <v>#REF!</v>
      </c>
      <c r="AD105" s="249" t="e">
        <f>+'Zał.1_WPF_bazowy'!#REF!</f>
        <v>#REF!</v>
      </c>
      <c r="AE105" s="249" t="e">
        <f>+'Zał.1_WPF_bazowy'!#REF!</f>
        <v>#REF!</v>
      </c>
      <c r="AF105" s="249" t="e">
        <f>+'Zał.1_WPF_bazowy'!#REF!</f>
        <v>#REF!</v>
      </c>
      <c r="AG105" s="249" t="e">
        <f>+'Zał.1_WPF_bazowy'!#REF!</f>
        <v>#REF!</v>
      </c>
      <c r="AH105" s="249" t="e">
        <f>+'Zał.1_WPF_bazowy'!#REF!</f>
        <v>#REF!</v>
      </c>
      <c r="AI105" s="249" t="e">
        <f>+'Zał.1_WPF_bazowy'!#REF!</f>
        <v>#REF!</v>
      </c>
      <c r="AJ105" s="249" t="e">
        <f>+'Zał.1_WPF_bazowy'!#REF!</f>
        <v>#REF!</v>
      </c>
      <c r="AK105" s="249" t="e">
        <f>+'Zał.1_WPF_bazowy'!#REF!</f>
        <v>#REF!</v>
      </c>
      <c r="AL105" s="250" t="e">
        <f>+'Zał.1_WPF_bazowy'!#REF!</f>
        <v>#REF!</v>
      </c>
    </row>
    <row r="106" spans="1:38" ht="14.25" outlineLevel="2">
      <c r="A106" s="1" t="s">
        <v>8</v>
      </c>
      <c r="B106" s="242" t="s">
        <v>255</v>
      </c>
      <c r="C106" s="243"/>
      <c r="D106" s="244" t="s">
        <v>257</v>
      </c>
      <c r="E106" s="245">
        <f>'Zał.1_WPF_bazowy'!E99</f>
        <v>0</v>
      </c>
      <c r="F106" s="246">
        <f>'Zał.1_WPF_bazowy'!F99</f>
        <v>0</v>
      </c>
      <c r="G106" s="246">
        <f>'Zał.1_WPF_bazowy'!G99</f>
        <v>0</v>
      </c>
      <c r="H106" s="247">
        <f>'Zał.1_WPF_bazowy'!H99</f>
        <v>0</v>
      </c>
      <c r="I106" s="248">
        <f>+'Zał.1_WPF_bazowy'!I99</f>
        <v>0</v>
      </c>
      <c r="J106" s="249">
        <f>+'Zał.1_WPF_bazowy'!J99</f>
        <v>0</v>
      </c>
      <c r="K106" s="249">
        <f>+'Zał.1_WPF_bazowy'!K99</f>
        <v>0</v>
      </c>
      <c r="L106" s="249">
        <f>+'Zał.1_WPF_bazowy'!L99</f>
        <v>0</v>
      </c>
      <c r="M106" s="249">
        <f>+'Zał.1_WPF_bazowy'!M99</f>
        <v>0</v>
      </c>
      <c r="N106" s="249">
        <f>+'Zał.1_WPF_bazowy'!N99</f>
        <v>0</v>
      </c>
      <c r="O106" s="249">
        <f>+'Zał.1_WPF_bazowy'!O99</f>
        <v>0</v>
      </c>
      <c r="P106" s="249">
        <f>+'Zał.1_WPF_bazowy'!P99</f>
        <v>0</v>
      </c>
      <c r="Q106" s="249">
        <f>+'Zał.1_WPF_bazowy'!Q99</f>
        <v>0</v>
      </c>
      <c r="R106" s="249" t="e">
        <f>+'Zał.1_WPF_bazowy'!#REF!</f>
        <v>#REF!</v>
      </c>
      <c r="S106" s="249" t="e">
        <f>+'Zał.1_WPF_bazowy'!#REF!</f>
        <v>#REF!</v>
      </c>
      <c r="T106" s="249" t="e">
        <f>+'Zał.1_WPF_bazowy'!#REF!</f>
        <v>#REF!</v>
      </c>
      <c r="U106" s="249" t="e">
        <f>+'Zał.1_WPF_bazowy'!#REF!</f>
        <v>#REF!</v>
      </c>
      <c r="V106" s="249" t="e">
        <f>+'Zał.1_WPF_bazowy'!#REF!</f>
        <v>#REF!</v>
      </c>
      <c r="W106" s="249" t="e">
        <f>+'Zał.1_WPF_bazowy'!#REF!</f>
        <v>#REF!</v>
      </c>
      <c r="X106" s="249" t="e">
        <f>+'Zał.1_WPF_bazowy'!#REF!</f>
        <v>#REF!</v>
      </c>
      <c r="Y106" s="249" t="e">
        <f>+'Zał.1_WPF_bazowy'!#REF!</f>
        <v>#REF!</v>
      </c>
      <c r="Z106" s="249" t="e">
        <f>+'Zał.1_WPF_bazowy'!#REF!</f>
        <v>#REF!</v>
      </c>
      <c r="AA106" s="249" t="e">
        <f>+'Zał.1_WPF_bazowy'!#REF!</f>
        <v>#REF!</v>
      </c>
      <c r="AB106" s="249" t="e">
        <f>+'Zał.1_WPF_bazowy'!#REF!</f>
        <v>#REF!</v>
      </c>
      <c r="AC106" s="249" t="e">
        <f>+'Zał.1_WPF_bazowy'!#REF!</f>
        <v>#REF!</v>
      </c>
      <c r="AD106" s="249" t="e">
        <f>+'Zał.1_WPF_bazowy'!#REF!</f>
        <v>#REF!</v>
      </c>
      <c r="AE106" s="249" t="e">
        <f>+'Zał.1_WPF_bazowy'!#REF!</f>
        <v>#REF!</v>
      </c>
      <c r="AF106" s="249" t="e">
        <f>+'Zał.1_WPF_bazowy'!#REF!</f>
        <v>#REF!</v>
      </c>
      <c r="AG106" s="249" t="e">
        <f>+'Zał.1_WPF_bazowy'!#REF!</f>
        <v>#REF!</v>
      </c>
      <c r="AH106" s="249" t="e">
        <f>+'Zał.1_WPF_bazowy'!#REF!</f>
        <v>#REF!</v>
      </c>
      <c r="AI106" s="249" t="e">
        <f>+'Zał.1_WPF_bazowy'!#REF!</f>
        <v>#REF!</v>
      </c>
      <c r="AJ106" s="249" t="e">
        <f>+'Zał.1_WPF_bazowy'!#REF!</f>
        <v>#REF!</v>
      </c>
      <c r="AK106" s="249" t="e">
        <f>+'Zał.1_WPF_bazowy'!#REF!</f>
        <v>#REF!</v>
      </c>
      <c r="AL106" s="250" t="e">
        <f>+'Zał.1_WPF_bazowy'!#REF!</f>
        <v>#REF!</v>
      </c>
    </row>
    <row r="107" spans="1:38" ht="14.25" outlineLevel="2">
      <c r="A107" s="1" t="s">
        <v>8</v>
      </c>
      <c r="B107" s="242" t="s">
        <v>258</v>
      </c>
      <c r="C107" s="243"/>
      <c r="D107" s="251" t="s">
        <v>260</v>
      </c>
      <c r="E107" s="245">
        <f>'Zał.1_WPF_bazowy'!E100</f>
        <v>0</v>
      </c>
      <c r="F107" s="246">
        <f>'Zał.1_WPF_bazowy'!F100</f>
        <v>0</v>
      </c>
      <c r="G107" s="246">
        <f>'Zał.1_WPF_bazowy'!G100</f>
        <v>0</v>
      </c>
      <c r="H107" s="247">
        <f>'Zał.1_WPF_bazowy'!H100</f>
        <v>0</v>
      </c>
      <c r="I107" s="248">
        <f>+'Zał.1_WPF_bazowy'!I100</f>
        <v>0</v>
      </c>
      <c r="J107" s="249">
        <f>+'Zał.1_WPF_bazowy'!J100</f>
        <v>0</v>
      </c>
      <c r="K107" s="249">
        <f>+'Zał.1_WPF_bazowy'!K100</f>
        <v>0</v>
      </c>
      <c r="L107" s="249">
        <f>+'Zał.1_WPF_bazowy'!L100</f>
        <v>0</v>
      </c>
      <c r="M107" s="249">
        <f>+'Zał.1_WPF_bazowy'!M100</f>
        <v>0</v>
      </c>
      <c r="N107" s="249">
        <f>+'Zał.1_WPF_bazowy'!N100</f>
        <v>0</v>
      </c>
      <c r="O107" s="249">
        <f>+'Zał.1_WPF_bazowy'!O100</f>
        <v>0</v>
      </c>
      <c r="P107" s="249">
        <f>+'Zał.1_WPF_bazowy'!P100</f>
        <v>0</v>
      </c>
      <c r="Q107" s="249">
        <f>+'Zał.1_WPF_bazowy'!Q100</f>
        <v>0</v>
      </c>
      <c r="R107" s="249" t="e">
        <f>+'Zał.1_WPF_bazowy'!#REF!</f>
        <v>#REF!</v>
      </c>
      <c r="S107" s="249" t="e">
        <f>+'Zał.1_WPF_bazowy'!#REF!</f>
        <v>#REF!</v>
      </c>
      <c r="T107" s="249" t="e">
        <f>+'Zał.1_WPF_bazowy'!#REF!</f>
        <v>#REF!</v>
      </c>
      <c r="U107" s="249" t="e">
        <f>+'Zał.1_WPF_bazowy'!#REF!</f>
        <v>#REF!</v>
      </c>
      <c r="V107" s="249" t="e">
        <f>+'Zał.1_WPF_bazowy'!#REF!</f>
        <v>#REF!</v>
      </c>
      <c r="W107" s="249" t="e">
        <f>+'Zał.1_WPF_bazowy'!#REF!</f>
        <v>#REF!</v>
      </c>
      <c r="X107" s="249" t="e">
        <f>+'Zał.1_WPF_bazowy'!#REF!</f>
        <v>#REF!</v>
      </c>
      <c r="Y107" s="249" t="e">
        <f>+'Zał.1_WPF_bazowy'!#REF!</f>
        <v>#REF!</v>
      </c>
      <c r="Z107" s="249" t="e">
        <f>+'Zał.1_WPF_bazowy'!#REF!</f>
        <v>#REF!</v>
      </c>
      <c r="AA107" s="249" t="e">
        <f>+'Zał.1_WPF_bazowy'!#REF!</f>
        <v>#REF!</v>
      </c>
      <c r="AB107" s="249" t="e">
        <f>+'Zał.1_WPF_bazowy'!#REF!</f>
        <v>#REF!</v>
      </c>
      <c r="AC107" s="249" t="e">
        <f>+'Zał.1_WPF_bazowy'!#REF!</f>
        <v>#REF!</v>
      </c>
      <c r="AD107" s="249" t="e">
        <f>+'Zał.1_WPF_bazowy'!#REF!</f>
        <v>#REF!</v>
      </c>
      <c r="AE107" s="249" t="e">
        <f>+'Zał.1_WPF_bazowy'!#REF!</f>
        <v>#REF!</v>
      </c>
      <c r="AF107" s="249" t="e">
        <f>+'Zał.1_WPF_bazowy'!#REF!</f>
        <v>#REF!</v>
      </c>
      <c r="AG107" s="249" t="e">
        <f>+'Zał.1_WPF_bazowy'!#REF!</f>
        <v>#REF!</v>
      </c>
      <c r="AH107" s="249" t="e">
        <f>+'Zał.1_WPF_bazowy'!#REF!</f>
        <v>#REF!</v>
      </c>
      <c r="AI107" s="249" t="e">
        <f>+'Zał.1_WPF_bazowy'!#REF!</f>
        <v>#REF!</v>
      </c>
      <c r="AJ107" s="249" t="e">
        <f>+'Zał.1_WPF_bazowy'!#REF!</f>
        <v>#REF!</v>
      </c>
      <c r="AK107" s="249" t="e">
        <f>+'Zał.1_WPF_bazowy'!#REF!</f>
        <v>#REF!</v>
      </c>
      <c r="AL107" s="250" t="e">
        <f>+'Zał.1_WPF_bazowy'!#REF!</f>
        <v>#REF!</v>
      </c>
    </row>
    <row r="108" spans="1:38" ht="14.25" outlineLevel="2">
      <c r="A108" s="1" t="s">
        <v>8</v>
      </c>
      <c r="B108" s="242" t="s">
        <v>261</v>
      </c>
      <c r="C108" s="243"/>
      <c r="D108" s="251" t="s">
        <v>263</v>
      </c>
      <c r="E108" s="245">
        <f>'Zał.1_WPF_bazowy'!E101</f>
        <v>0</v>
      </c>
      <c r="F108" s="246">
        <f>'Zał.1_WPF_bazowy'!F101</f>
        <v>0</v>
      </c>
      <c r="G108" s="246">
        <f>'Zał.1_WPF_bazowy'!G101</f>
        <v>0</v>
      </c>
      <c r="H108" s="247">
        <f>'Zał.1_WPF_bazowy'!H101</f>
        <v>0</v>
      </c>
      <c r="I108" s="248">
        <f>+'Zał.1_WPF_bazowy'!I101</f>
        <v>0</v>
      </c>
      <c r="J108" s="249">
        <f>+'Zał.1_WPF_bazowy'!J101</f>
        <v>0</v>
      </c>
      <c r="K108" s="249">
        <f>+'Zał.1_WPF_bazowy'!K101</f>
        <v>0</v>
      </c>
      <c r="L108" s="249">
        <f>+'Zał.1_WPF_bazowy'!L101</f>
        <v>0</v>
      </c>
      <c r="M108" s="249">
        <f>+'Zał.1_WPF_bazowy'!M101</f>
        <v>0</v>
      </c>
      <c r="N108" s="249">
        <f>+'Zał.1_WPF_bazowy'!N101</f>
        <v>0</v>
      </c>
      <c r="O108" s="249">
        <f>+'Zał.1_WPF_bazowy'!O101</f>
        <v>0</v>
      </c>
      <c r="P108" s="249">
        <f>+'Zał.1_WPF_bazowy'!P101</f>
        <v>0</v>
      </c>
      <c r="Q108" s="249">
        <f>+'Zał.1_WPF_bazowy'!Q101</f>
        <v>0</v>
      </c>
      <c r="R108" s="249" t="e">
        <f>+'Zał.1_WPF_bazowy'!#REF!</f>
        <v>#REF!</v>
      </c>
      <c r="S108" s="249" t="e">
        <f>+'Zał.1_WPF_bazowy'!#REF!</f>
        <v>#REF!</v>
      </c>
      <c r="T108" s="249" t="e">
        <f>+'Zał.1_WPF_bazowy'!#REF!</f>
        <v>#REF!</v>
      </c>
      <c r="U108" s="249" t="e">
        <f>+'Zał.1_WPF_bazowy'!#REF!</f>
        <v>#REF!</v>
      </c>
      <c r="V108" s="249" t="e">
        <f>+'Zał.1_WPF_bazowy'!#REF!</f>
        <v>#REF!</v>
      </c>
      <c r="W108" s="249" t="e">
        <f>+'Zał.1_WPF_bazowy'!#REF!</f>
        <v>#REF!</v>
      </c>
      <c r="X108" s="249" t="e">
        <f>+'Zał.1_WPF_bazowy'!#REF!</f>
        <v>#REF!</v>
      </c>
      <c r="Y108" s="249" t="e">
        <f>+'Zał.1_WPF_bazowy'!#REF!</f>
        <v>#REF!</v>
      </c>
      <c r="Z108" s="249" t="e">
        <f>+'Zał.1_WPF_bazowy'!#REF!</f>
        <v>#REF!</v>
      </c>
      <c r="AA108" s="249" t="e">
        <f>+'Zał.1_WPF_bazowy'!#REF!</f>
        <v>#REF!</v>
      </c>
      <c r="AB108" s="249" t="e">
        <f>+'Zał.1_WPF_bazowy'!#REF!</f>
        <v>#REF!</v>
      </c>
      <c r="AC108" s="249" t="e">
        <f>+'Zał.1_WPF_bazowy'!#REF!</f>
        <v>#REF!</v>
      </c>
      <c r="AD108" s="249" t="e">
        <f>+'Zał.1_WPF_bazowy'!#REF!</f>
        <v>#REF!</v>
      </c>
      <c r="AE108" s="249" t="e">
        <f>+'Zał.1_WPF_bazowy'!#REF!</f>
        <v>#REF!</v>
      </c>
      <c r="AF108" s="249" t="e">
        <f>+'Zał.1_WPF_bazowy'!#REF!</f>
        <v>#REF!</v>
      </c>
      <c r="AG108" s="249" t="e">
        <f>+'Zał.1_WPF_bazowy'!#REF!</f>
        <v>#REF!</v>
      </c>
      <c r="AH108" s="249" t="e">
        <f>+'Zał.1_WPF_bazowy'!#REF!</f>
        <v>#REF!</v>
      </c>
      <c r="AI108" s="249" t="e">
        <f>+'Zał.1_WPF_bazowy'!#REF!</f>
        <v>#REF!</v>
      </c>
      <c r="AJ108" s="249" t="e">
        <f>+'Zał.1_WPF_bazowy'!#REF!</f>
        <v>#REF!</v>
      </c>
      <c r="AK108" s="249" t="e">
        <f>+'Zał.1_WPF_bazowy'!#REF!</f>
        <v>#REF!</v>
      </c>
      <c r="AL108" s="250" t="e">
        <f>+'Zał.1_WPF_bazowy'!#REF!</f>
        <v>#REF!</v>
      </c>
    </row>
    <row r="109" spans="1:38" ht="14.25" outlineLevel="2">
      <c r="A109" s="1" t="s">
        <v>8</v>
      </c>
      <c r="B109" s="242" t="s">
        <v>264</v>
      </c>
      <c r="C109" s="243"/>
      <c r="D109" s="251" t="s">
        <v>266</v>
      </c>
      <c r="E109" s="245">
        <f>'Zał.1_WPF_bazowy'!E102</f>
        <v>0</v>
      </c>
      <c r="F109" s="246">
        <f>'Zał.1_WPF_bazowy'!F102</f>
        <v>0</v>
      </c>
      <c r="G109" s="246">
        <f>'Zał.1_WPF_bazowy'!G102</f>
        <v>0</v>
      </c>
      <c r="H109" s="247">
        <f>'Zał.1_WPF_bazowy'!H102</f>
        <v>0</v>
      </c>
      <c r="I109" s="248">
        <f>+'Zał.1_WPF_bazowy'!I102</f>
        <v>0</v>
      </c>
      <c r="J109" s="249">
        <f>+'Zał.1_WPF_bazowy'!J102</f>
        <v>0</v>
      </c>
      <c r="K109" s="249">
        <f>+'Zał.1_WPF_bazowy'!K102</f>
        <v>0</v>
      </c>
      <c r="L109" s="249">
        <f>+'Zał.1_WPF_bazowy'!L102</f>
        <v>0</v>
      </c>
      <c r="M109" s="249">
        <f>+'Zał.1_WPF_bazowy'!M102</f>
        <v>0</v>
      </c>
      <c r="N109" s="249">
        <f>+'Zał.1_WPF_bazowy'!N102</f>
        <v>0</v>
      </c>
      <c r="O109" s="249">
        <f>+'Zał.1_WPF_bazowy'!O102</f>
        <v>0</v>
      </c>
      <c r="P109" s="249">
        <f>+'Zał.1_WPF_bazowy'!P102</f>
        <v>0</v>
      </c>
      <c r="Q109" s="249">
        <f>+'Zał.1_WPF_bazowy'!Q102</f>
        <v>0</v>
      </c>
      <c r="R109" s="249" t="e">
        <f>+'Zał.1_WPF_bazowy'!#REF!</f>
        <v>#REF!</v>
      </c>
      <c r="S109" s="249" t="e">
        <f>+'Zał.1_WPF_bazowy'!#REF!</f>
        <v>#REF!</v>
      </c>
      <c r="T109" s="249" t="e">
        <f>+'Zał.1_WPF_bazowy'!#REF!</f>
        <v>#REF!</v>
      </c>
      <c r="U109" s="249" t="e">
        <f>+'Zał.1_WPF_bazowy'!#REF!</f>
        <v>#REF!</v>
      </c>
      <c r="V109" s="249" t="e">
        <f>+'Zał.1_WPF_bazowy'!#REF!</f>
        <v>#REF!</v>
      </c>
      <c r="W109" s="249" t="e">
        <f>+'Zał.1_WPF_bazowy'!#REF!</f>
        <v>#REF!</v>
      </c>
      <c r="X109" s="249" t="e">
        <f>+'Zał.1_WPF_bazowy'!#REF!</f>
        <v>#REF!</v>
      </c>
      <c r="Y109" s="249" t="e">
        <f>+'Zał.1_WPF_bazowy'!#REF!</f>
        <v>#REF!</v>
      </c>
      <c r="Z109" s="249" t="e">
        <f>+'Zał.1_WPF_bazowy'!#REF!</f>
        <v>#REF!</v>
      </c>
      <c r="AA109" s="249" t="e">
        <f>+'Zał.1_WPF_bazowy'!#REF!</f>
        <v>#REF!</v>
      </c>
      <c r="AB109" s="249" t="e">
        <f>+'Zał.1_WPF_bazowy'!#REF!</f>
        <v>#REF!</v>
      </c>
      <c r="AC109" s="249" t="e">
        <f>+'Zał.1_WPF_bazowy'!#REF!</f>
        <v>#REF!</v>
      </c>
      <c r="AD109" s="249" t="e">
        <f>+'Zał.1_WPF_bazowy'!#REF!</f>
        <v>#REF!</v>
      </c>
      <c r="AE109" s="249" t="e">
        <f>+'Zał.1_WPF_bazowy'!#REF!</f>
        <v>#REF!</v>
      </c>
      <c r="AF109" s="249" t="e">
        <f>+'Zał.1_WPF_bazowy'!#REF!</f>
        <v>#REF!</v>
      </c>
      <c r="AG109" s="249" t="e">
        <f>+'Zał.1_WPF_bazowy'!#REF!</f>
        <v>#REF!</v>
      </c>
      <c r="AH109" s="249" t="e">
        <f>+'Zał.1_WPF_bazowy'!#REF!</f>
        <v>#REF!</v>
      </c>
      <c r="AI109" s="249" t="e">
        <f>+'Zał.1_WPF_bazowy'!#REF!</f>
        <v>#REF!</v>
      </c>
      <c r="AJ109" s="249" t="e">
        <f>+'Zał.1_WPF_bazowy'!#REF!</f>
        <v>#REF!</v>
      </c>
      <c r="AK109" s="249" t="e">
        <f>+'Zał.1_WPF_bazowy'!#REF!</f>
        <v>#REF!</v>
      </c>
      <c r="AL109" s="250" t="e">
        <f>+'Zał.1_WPF_bazowy'!#REF!</f>
        <v>#REF!</v>
      </c>
    </row>
    <row r="110" spans="1:38" ht="14.25" outlineLevel="2">
      <c r="A110" s="1" t="s">
        <v>8</v>
      </c>
      <c r="B110" s="292" t="s">
        <v>267</v>
      </c>
      <c r="C110" s="293"/>
      <c r="D110" s="294" t="s">
        <v>269</v>
      </c>
      <c r="E110" s="295">
        <f>'Zał.1_WPF_bazowy'!E103</f>
        <v>0</v>
      </c>
      <c r="F110" s="296">
        <f>'Zał.1_WPF_bazowy'!F103</f>
        <v>0</v>
      </c>
      <c r="G110" s="296">
        <f>'Zał.1_WPF_bazowy'!G103</f>
        <v>0</v>
      </c>
      <c r="H110" s="297">
        <f>'Zał.1_WPF_bazowy'!H103</f>
        <v>0</v>
      </c>
      <c r="I110" s="298">
        <f>+'Zał.1_WPF_bazowy'!I103</f>
        <v>0</v>
      </c>
      <c r="J110" s="299">
        <f>+'Zał.1_WPF_bazowy'!J103</f>
        <v>0</v>
      </c>
      <c r="K110" s="299">
        <f>+'Zał.1_WPF_bazowy'!K103</f>
        <v>0</v>
      </c>
      <c r="L110" s="299">
        <f>+'Zał.1_WPF_bazowy'!L103</f>
        <v>0</v>
      </c>
      <c r="M110" s="299">
        <f>+'Zał.1_WPF_bazowy'!M103</f>
        <v>0</v>
      </c>
      <c r="N110" s="299">
        <f>+'Zał.1_WPF_bazowy'!N103</f>
        <v>0</v>
      </c>
      <c r="O110" s="299">
        <f>+'Zał.1_WPF_bazowy'!O103</f>
        <v>0</v>
      </c>
      <c r="P110" s="299">
        <f>+'Zał.1_WPF_bazowy'!P103</f>
        <v>0</v>
      </c>
      <c r="Q110" s="299">
        <f>+'Zał.1_WPF_bazowy'!Q103</f>
        <v>0</v>
      </c>
      <c r="R110" s="299" t="e">
        <f>+'Zał.1_WPF_bazowy'!#REF!</f>
        <v>#REF!</v>
      </c>
      <c r="S110" s="299" t="e">
        <f>+'Zał.1_WPF_bazowy'!#REF!</f>
        <v>#REF!</v>
      </c>
      <c r="T110" s="299" t="e">
        <f>+'Zał.1_WPF_bazowy'!#REF!</f>
        <v>#REF!</v>
      </c>
      <c r="U110" s="299" t="e">
        <f>+'Zał.1_WPF_bazowy'!#REF!</f>
        <v>#REF!</v>
      </c>
      <c r="V110" s="299" t="e">
        <f>+'Zał.1_WPF_bazowy'!#REF!</f>
        <v>#REF!</v>
      </c>
      <c r="W110" s="299" t="e">
        <f>+'Zał.1_WPF_bazowy'!#REF!</f>
        <v>#REF!</v>
      </c>
      <c r="X110" s="299" t="e">
        <f>+'Zał.1_WPF_bazowy'!#REF!</f>
        <v>#REF!</v>
      </c>
      <c r="Y110" s="299" t="e">
        <f>+'Zał.1_WPF_bazowy'!#REF!</f>
        <v>#REF!</v>
      </c>
      <c r="Z110" s="299" t="e">
        <f>+'Zał.1_WPF_bazowy'!#REF!</f>
        <v>#REF!</v>
      </c>
      <c r="AA110" s="299" t="e">
        <f>+'Zał.1_WPF_bazowy'!#REF!</f>
        <v>#REF!</v>
      </c>
      <c r="AB110" s="299" t="e">
        <f>+'Zał.1_WPF_bazowy'!#REF!</f>
        <v>#REF!</v>
      </c>
      <c r="AC110" s="299" t="e">
        <f>+'Zał.1_WPF_bazowy'!#REF!</f>
        <v>#REF!</v>
      </c>
      <c r="AD110" s="299" t="e">
        <f>+'Zał.1_WPF_bazowy'!#REF!</f>
        <v>#REF!</v>
      </c>
      <c r="AE110" s="299" t="e">
        <f>+'Zał.1_WPF_bazowy'!#REF!</f>
        <v>#REF!</v>
      </c>
      <c r="AF110" s="299" t="e">
        <f>+'Zał.1_WPF_bazowy'!#REF!</f>
        <v>#REF!</v>
      </c>
      <c r="AG110" s="299" t="e">
        <f>+'Zał.1_WPF_bazowy'!#REF!</f>
        <v>#REF!</v>
      </c>
      <c r="AH110" s="299" t="e">
        <f>+'Zał.1_WPF_bazowy'!#REF!</f>
        <v>#REF!</v>
      </c>
      <c r="AI110" s="299" t="e">
        <f>+'Zał.1_WPF_bazowy'!#REF!</f>
        <v>#REF!</v>
      </c>
      <c r="AJ110" s="299" t="e">
        <f>+'Zał.1_WPF_bazowy'!#REF!</f>
        <v>#REF!</v>
      </c>
      <c r="AK110" s="299" t="e">
        <f>+'Zał.1_WPF_bazowy'!#REF!</f>
        <v>#REF!</v>
      </c>
      <c r="AL110" s="300" t="e">
        <f>+'Zał.1_WPF_bazowy'!#REF!</f>
        <v>#REF!</v>
      </c>
    </row>
    <row r="111" spans="1:38" ht="14.25" outlineLevel="1">
      <c r="A111" s="1"/>
      <c r="B111" s="301">
        <v>15</v>
      </c>
      <c r="C111" s="302"/>
      <c r="D111" s="303" t="s">
        <v>270</v>
      </c>
      <c r="E111" s="304" t="s">
        <v>8</v>
      </c>
      <c r="F111" s="305" t="s">
        <v>8</v>
      </c>
      <c r="G111" s="305" t="s">
        <v>8</v>
      </c>
      <c r="H111" s="306" t="s">
        <v>8</v>
      </c>
      <c r="I111" s="307" t="s">
        <v>8</v>
      </c>
      <c r="J111" s="308" t="s">
        <v>8</v>
      </c>
      <c r="K111" s="308" t="s">
        <v>8</v>
      </c>
      <c r="L111" s="308" t="s">
        <v>8</v>
      </c>
      <c r="M111" s="308" t="s">
        <v>8</v>
      </c>
      <c r="N111" s="308" t="s">
        <v>8</v>
      </c>
      <c r="O111" s="308" t="s">
        <v>8</v>
      </c>
      <c r="P111" s="308" t="s">
        <v>8</v>
      </c>
      <c r="Q111" s="308" t="s">
        <v>8</v>
      </c>
      <c r="R111" s="308" t="s">
        <v>8</v>
      </c>
      <c r="S111" s="308" t="s">
        <v>8</v>
      </c>
      <c r="T111" s="308" t="s">
        <v>8</v>
      </c>
      <c r="U111" s="308" t="s">
        <v>8</v>
      </c>
      <c r="V111" s="308" t="s">
        <v>8</v>
      </c>
      <c r="W111" s="308" t="s">
        <v>8</v>
      </c>
      <c r="X111" s="308" t="s">
        <v>8</v>
      </c>
      <c r="Y111" s="308" t="s">
        <v>8</v>
      </c>
      <c r="Z111" s="308" t="s">
        <v>8</v>
      </c>
      <c r="AA111" s="308" t="s">
        <v>8</v>
      </c>
      <c r="AB111" s="308" t="s">
        <v>8</v>
      </c>
      <c r="AC111" s="308" t="s">
        <v>8</v>
      </c>
      <c r="AD111" s="308" t="s">
        <v>8</v>
      </c>
      <c r="AE111" s="308" t="s">
        <v>8</v>
      </c>
      <c r="AF111" s="308" t="s">
        <v>8</v>
      </c>
      <c r="AG111" s="308" t="s">
        <v>8</v>
      </c>
      <c r="AH111" s="308" t="s">
        <v>8</v>
      </c>
      <c r="AI111" s="308" t="s">
        <v>8</v>
      </c>
      <c r="AJ111" s="308" t="s">
        <v>8</v>
      </c>
      <c r="AK111" s="308" t="s">
        <v>8</v>
      </c>
      <c r="AL111" s="309" t="s">
        <v>8</v>
      </c>
    </row>
    <row r="112" spans="1:38" ht="14.25" outlineLevel="2">
      <c r="A112" s="1"/>
      <c r="B112" s="242" t="s">
        <v>271</v>
      </c>
      <c r="C112" s="243"/>
      <c r="D112" s="244" t="s">
        <v>273</v>
      </c>
      <c r="E112" s="245">
        <f>'Zał.1_WPF_bazowy'!E105</f>
        <v>0</v>
      </c>
      <c r="F112" s="246">
        <f>'Zał.1_WPF_bazowy'!F105</f>
        <v>0</v>
      </c>
      <c r="G112" s="246">
        <f>'Zał.1_WPF_bazowy'!G105</f>
        <v>0</v>
      </c>
      <c r="H112" s="247">
        <f>'Zał.1_WPF_bazowy'!H105</f>
        <v>0</v>
      </c>
      <c r="I112" s="248">
        <f>+'Zał.1_WPF_bazowy'!I105</f>
        <v>0</v>
      </c>
      <c r="J112" s="249">
        <f>+'Zał.1_WPF_bazowy'!J105</f>
        <v>0</v>
      </c>
      <c r="K112" s="249">
        <f>+'Zał.1_WPF_bazowy'!K105</f>
        <v>0</v>
      </c>
      <c r="L112" s="249">
        <f>+'Zał.1_WPF_bazowy'!L105</f>
        <v>0</v>
      </c>
      <c r="M112" s="249">
        <f>+'Zał.1_WPF_bazowy'!M105</f>
        <v>0</v>
      </c>
      <c r="N112" s="249">
        <f>+'Zał.1_WPF_bazowy'!N105</f>
        <v>0</v>
      </c>
      <c r="O112" s="249">
        <f>+'Zał.1_WPF_bazowy'!O105</f>
        <v>0</v>
      </c>
      <c r="P112" s="249">
        <f>+'Zał.1_WPF_bazowy'!P105</f>
        <v>0</v>
      </c>
      <c r="Q112" s="249">
        <f>+'Zał.1_WPF_bazowy'!Q105</f>
        <v>0</v>
      </c>
      <c r="R112" s="249" t="e">
        <f>+'Zał.1_WPF_bazowy'!#REF!</f>
        <v>#REF!</v>
      </c>
      <c r="S112" s="249" t="e">
        <f>+'Zał.1_WPF_bazowy'!#REF!</f>
        <v>#REF!</v>
      </c>
      <c r="T112" s="249" t="e">
        <f>+'Zał.1_WPF_bazowy'!#REF!</f>
        <v>#REF!</v>
      </c>
      <c r="U112" s="249" t="e">
        <f>+'Zał.1_WPF_bazowy'!#REF!</f>
        <v>#REF!</v>
      </c>
      <c r="V112" s="249" t="e">
        <f>+'Zał.1_WPF_bazowy'!#REF!</f>
        <v>#REF!</v>
      </c>
      <c r="W112" s="249" t="e">
        <f>+'Zał.1_WPF_bazowy'!#REF!</f>
        <v>#REF!</v>
      </c>
      <c r="X112" s="249" t="e">
        <f>+'Zał.1_WPF_bazowy'!#REF!</f>
        <v>#REF!</v>
      </c>
      <c r="Y112" s="249" t="e">
        <f>+'Zał.1_WPF_bazowy'!#REF!</f>
        <v>#REF!</v>
      </c>
      <c r="Z112" s="249" t="e">
        <f>+'Zał.1_WPF_bazowy'!#REF!</f>
        <v>#REF!</v>
      </c>
      <c r="AA112" s="249" t="e">
        <f>+'Zał.1_WPF_bazowy'!#REF!</f>
        <v>#REF!</v>
      </c>
      <c r="AB112" s="249" t="e">
        <f>+'Zał.1_WPF_bazowy'!#REF!</f>
        <v>#REF!</v>
      </c>
      <c r="AC112" s="249" t="e">
        <f>+'Zał.1_WPF_bazowy'!#REF!</f>
        <v>#REF!</v>
      </c>
      <c r="AD112" s="249" t="e">
        <f>+'Zał.1_WPF_bazowy'!#REF!</f>
        <v>#REF!</v>
      </c>
      <c r="AE112" s="249" t="e">
        <f>+'Zał.1_WPF_bazowy'!#REF!</f>
        <v>#REF!</v>
      </c>
      <c r="AF112" s="249" t="e">
        <f>+'Zał.1_WPF_bazowy'!#REF!</f>
        <v>#REF!</v>
      </c>
      <c r="AG112" s="249" t="e">
        <f>+'Zał.1_WPF_bazowy'!#REF!</f>
        <v>#REF!</v>
      </c>
      <c r="AH112" s="249" t="e">
        <f>+'Zał.1_WPF_bazowy'!#REF!</f>
        <v>#REF!</v>
      </c>
      <c r="AI112" s="249" t="e">
        <f>+'Zał.1_WPF_bazowy'!#REF!</f>
        <v>#REF!</v>
      </c>
      <c r="AJ112" s="249" t="e">
        <f>+'Zał.1_WPF_bazowy'!#REF!</f>
        <v>#REF!</v>
      </c>
      <c r="AK112" s="249" t="e">
        <f>+'Zał.1_WPF_bazowy'!#REF!</f>
        <v>#REF!</v>
      </c>
      <c r="AL112" s="250" t="e">
        <f>+'Zał.1_WPF_bazowy'!#REF!</f>
        <v>#REF!</v>
      </c>
    </row>
    <row r="113" spans="1:38" ht="14.25" outlineLevel="2">
      <c r="A113" s="1" t="s">
        <v>8</v>
      </c>
      <c r="B113" s="242" t="s">
        <v>274</v>
      </c>
      <c r="C113" s="243"/>
      <c r="D113" s="251" t="s">
        <v>276</v>
      </c>
      <c r="E113" s="245">
        <f>'Zał.1_WPF_bazowy'!E106</f>
        <v>0</v>
      </c>
      <c r="F113" s="246">
        <f>'Zał.1_WPF_bazowy'!F106</f>
        <v>0</v>
      </c>
      <c r="G113" s="246">
        <f>'Zał.1_WPF_bazowy'!G106</f>
        <v>0</v>
      </c>
      <c r="H113" s="247">
        <f>'Zał.1_WPF_bazowy'!H106</f>
        <v>0</v>
      </c>
      <c r="I113" s="248">
        <f>+'Zał.1_WPF_bazowy'!I106</f>
        <v>0</v>
      </c>
      <c r="J113" s="249">
        <f>+'Zał.1_WPF_bazowy'!J106</f>
        <v>0</v>
      </c>
      <c r="K113" s="249">
        <f>+'Zał.1_WPF_bazowy'!K106</f>
        <v>0</v>
      </c>
      <c r="L113" s="249">
        <f>+'Zał.1_WPF_bazowy'!L106</f>
        <v>0</v>
      </c>
      <c r="M113" s="249">
        <f>+'Zał.1_WPF_bazowy'!M106</f>
        <v>0</v>
      </c>
      <c r="N113" s="249">
        <f>+'Zał.1_WPF_bazowy'!N106</f>
        <v>0</v>
      </c>
      <c r="O113" s="249">
        <f>+'Zał.1_WPF_bazowy'!O106</f>
        <v>0</v>
      </c>
      <c r="P113" s="249">
        <f>+'Zał.1_WPF_bazowy'!P106</f>
        <v>0</v>
      </c>
      <c r="Q113" s="249">
        <f>+'Zał.1_WPF_bazowy'!Q106</f>
        <v>0</v>
      </c>
      <c r="R113" s="249" t="e">
        <f>+'Zał.1_WPF_bazowy'!#REF!</f>
        <v>#REF!</v>
      </c>
      <c r="S113" s="249" t="e">
        <f>+'Zał.1_WPF_bazowy'!#REF!</f>
        <v>#REF!</v>
      </c>
      <c r="T113" s="249" t="e">
        <f>+'Zał.1_WPF_bazowy'!#REF!</f>
        <v>#REF!</v>
      </c>
      <c r="U113" s="249" t="e">
        <f>+'Zał.1_WPF_bazowy'!#REF!</f>
        <v>#REF!</v>
      </c>
      <c r="V113" s="249" t="e">
        <f>+'Zał.1_WPF_bazowy'!#REF!</f>
        <v>#REF!</v>
      </c>
      <c r="W113" s="249" t="e">
        <f>+'Zał.1_WPF_bazowy'!#REF!</f>
        <v>#REF!</v>
      </c>
      <c r="X113" s="249" t="e">
        <f>+'Zał.1_WPF_bazowy'!#REF!</f>
        <v>#REF!</v>
      </c>
      <c r="Y113" s="249" t="e">
        <f>+'Zał.1_WPF_bazowy'!#REF!</f>
        <v>#REF!</v>
      </c>
      <c r="Z113" s="249" t="e">
        <f>+'Zał.1_WPF_bazowy'!#REF!</f>
        <v>#REF!</v>
      </c>
      <c r="AA113" s="249" t="e">
        <f>+'Zał.1_WPF_bazowy'!#REF!</f>
        <v>#REF!</v>
      </c>
      <c r="AB113" s="249" t="e">
        <f>+'Zał.1_WPF_bazowy'!#REF!</f>
        <v>#REF!</v>
      </c>
      <c r="AC113" s="249" t="e">
        <f>+'Zał.1_WPF_bazowy'!#REF!</f>
        <v>#REF!</v>
      </c>
      <c r="AD113" s="249" t="e">
        <f>+'Zał.1_WPF_bazowy'!#REF!</f>
        <v>#REF!</v>
      </c>
      <c r="AE113" s="249" t="e">
        <f>+'Zał.1_WPF_bazowy'!#REF!</f>
        <v>#REF!</v>
      </c>
      <c r="AF113" s="249" t="e">
        <f>+'Zał.1_WPF_bazowy'!#REF!</f>
        <v>#REF!</v>
      </c>
      <c r="AG113" s="249" t="e">
        <f>+'Zał.1_WPF_bazowy'!#REF!</f>
        <v>#REF!</v>
      </c>
      <c r="AH113" s="249" t="e">
        <f>+'Zał.1_WPF_bazowy'!#REF!</f>
        <v>#REF!</v>
      </c>
      <c r="AI113" s="249" t="e">
        <f>+'Zał.1_WPF_bazowy'!#REF!</f>
        <v>#REF!</v>
      </c>
      <c r="AJ113" s="249" t="e">
        <f>+'Zał.1_WPF_bazowy'!#REF!</f>
        <v>#REF!</v>
      </c>
      <c r="AK113" s="249" t="e">
        <f>+'Zał.1_WPF_bazowy'!#REF!</f>
        <v>#REF!</v>
      </c>
      <c r="AL113" s="250" t="e">
        <f>+'Zał.1_WPF_bazowy'!#REF!</f>
        <v>#REF!</v>
      </c>
    </row>
    <row r="114" spans="1:38" ht="24" outlineLevel="2">
      <c r="A114" s="1" t="s">
        <v>8</v>
      </c>
      <c r="B114" s="310" t="s">
        <v>277</v>
      </c>
      <c r="C114" s="311"/>
      <c r="D114" s="312" t="s">
        <v>278</v>
      </c>
      <c r="E114" s="313">
        <f>'Zał.1_WPF_bazowy'!E107</f>
        <v>0</v>
      </c>
      <c r="F114" s="314">
        <f>'Zał.1_WPF_bazowy'!F107</f>
        <v>0</v>
      </c>
      <c r="G114" s="314">
        <f>'Zał.1_WPF_bazowy'!G107</f>
        <v>0</v>
      </c>
      <c r="H114" s="315">
        <f>'Zał.1_WPF_bazowy'!H107</f>
        <v>0</v>
      </c>
      <c r="I114" s="316">
        <f>+'Zał.1_WPF_bazowy'!I107</f>
        <v>0</v>
      </c>
      <c r="J114" s="317">
        <f>+'Zał.1_WPF_bazowy'!J107</f>
        <v>0</v>
      </c>
      <c r="K114" s="317">
        <f>+'Zał.1_WPF_bazowy'!K107</f>
        <v>0</v>
      </c>
      <c r="L114" s="317">
        <f>+'Zał.1_WPF_bazowy'!L107</f>
        <v>0</v>
      </c>
      <c r="M114" s="317">
        <f>+'Zał.1_WPF_bazowy'!M107</f>
        <v>0</v>
      </c>
      <c r="N114" s="317">
        <f>+'Zał.1_WPF_bazowy'!N107</f>
        <v>0</v>
      </c>
      <c r="O114" s="317">
        <f>+'Zał.1_WPF_bazowy'!O107</f>
        <v>0</v>
      </c>
      <c r="P114" s="317">
        <f>+'Zał.1_WPF_bazowy'!P107</f>
        <v>0</v>
      </c>
      <c r="Q114" s="317">
        <f>+'Zał.1_WPF_bazowy'!Q107</f>
        <v>0</v>
      </c>
      <c r="R114" s="317" t="e">
        <f>+'Zał.1_WPF_bazowy'!#REF!</f>
        <v>#REF!</v>
      </c>
      <c r="S114" s="317" t="e">
        <f>+'Zał.1_WPF_bazowy'!#REF!</f>
        <v>#REF!</v>
      </c>
      <c r="T114" s="317" t="e">
        <f>+'Zał.1_WPF_bazowy'!#REF!</f>
        <v>#REF!</v>
      </c>
      <c r="U114" s="317" t="e">
        <f>+'Zał.1_WPF_bazowy'!#REF!</f>
        <v>#REF!</v>
      </c>
      <c r="V114" s="317" t="e">
        <f>+'Zał.1_WPF_bazowy'!#REF!</f>
        <v>#REF!</v>
      </c>
      <c r="W114" s="317" t="e">
        <f>+'Zał.1_WPF_bazowy'!#REF!</f>
        <v>#REF!</v>
      </c>
      <c r="X114" s="317" t="e">
        <f>+'Zał.1_WPF_bazowy'!#REF!</f>
        <v>#REF!</v>
      </c>
      <c r="Y114" s="317" t="e">
        <f>+'Zał.1_WPF_bazowy'!#REF!</f>
        <v>#REF!</v>
      </c>
      <c r="Z114" s="317" t="e">
        <f>+'Zał.1_WPF_bazowy'!#REF!</f>
        <v>#REF!</v>
      </c>
      <c r="AA114" s="317" t="e">
        <f>+'Zał.1_WPF_bazowy'!#REF!</f>
        <v>#REF!</v>
      </c>
      <c r="AB114" s="317" t="e">
        <f>+'Zał.1_WPF_bazowy'!#REF!</f>
        <v>#REF!</v>
      </c>
      <c r="AC114" s="317" t="e">
        <f>+'Zał.1_WPF_bazowy'!#REF!</f>
        <v>#REF!</v>
      </c>
      <c r="AD114" s="317" t="e">
        <f>+'Zał.1_WPF_bazowy'!#REF!</f>
        <v>#REF!</v>
      </c>
      <c r="AE114" s="317" t="e">
        <f>+'Zał.1_WPF_bazowy'!#REF!</f>
        <v>#REF!</v>
      </c>
      <c r="AF114" s="317" t="e">
        <f>+'Zał.1_WPF_bazowy'!#REF!</f>
        <v>#REF!</v>
      </c>
      <c r="AG114" s="317" t="e">
        <f>+'Zał.1_WPF_bazowy'!#REF!</f>
        <v>#REF!</v>
      </c>
      <c r="AH114" s="317" t="e">
        <f>+'Zał.1_WPF_bazowy'!#REF!</f>
        <v>#REF!</v>
      </c>
      <c r="AI114" s="317" t="e">
        <f>+'Zał.1_WPF_bazowy'!#REF!</f>
        <v>#REF!</v>
      </c>
      <c r="AJ114" s="317" t="e">
        <f>+'Zał.1_WPF_bazowy'!#REF!</f>
        <v>#REF!</v>
      </c>
      <c r="AK114" s="317" t="e">
        <f>+'Zał.1_WPF_bazowy'!#REF!</f>
        <v>#REF!</v>
      </c>
      <c r="AL114" s="318" t="e">
        <f>+'Zał.1_WPF_bazowy'!#REF!</f>
        <v>#REF!</v>
      </c>
    </row>
    <row r="115" spans="1:38" ht="24" outlineLevel="1">
      <c r="A115" s="1"/>
      <c r="B115" s="319">
        <v>16</v>
      </c>
      <c r="C115" s="320"/>
      <c r="D115" s="321" t="s">
        <v>441</v>
      </c>
      <c r="E115" s="322" t="s">
        <v>8</v>
      </c>
      <c r="F115" s="323" t="s">
        <v>8</v>
      </c>
      <c r="G115" s="323" t="s">
        <v>8</v>
      </c>
      <c r="H115" s="324" t="s">
        <v>8</v>
      </c>
      <c r="I115" s="325" t="s">
        <v>8</v>
      </c>
      <c r="J115" s="325" t="s">
        <v>8</v>
      </c>
      <c r="K115" s="325" t="s">
        <v>8</v>
      </c>
      <c r="L115" s="325" t="s">
        <v>8</v>
      </c>
      <c r="M115" s="325" t="s">
        <v>8</v>
      </c>
      <c r="N115" s="325" t="s">
        <v>8</v>
      </c>
      <c r="O115" s="325" t="s">
        <v>8</v>
      </c>
      <c r="P115" s="325" t="s">
        <v>8</v>
      </c>
      <c r="Q115" s="325" t="s">
        <v>8</v>
      </c>
      <c r="R115" s="325" t="s">
        <v>8</v>
      </c>
      <c r="S115" s="325" t="s">
        <v>8</v>
      </c>
      <c r="T115" s="325" t="s">
        <v>8</v>
      </c>
      <c r="U115" s="325" t="s">
        <v>8</v>
      </c>
      <c r="V115" s="325" t="s">
        <v>8</v>
      </c>
      <c r="W115" s="325" t="s">
        <v>8</v>
      </c>
      <c r="X115" s="325" t="s">
        <v>8</v>
      </c>
      <c r="Y115" s="325" t="s">
        <v>8</v>
      </c>
      <c r="Z115" s="325" t="s">
        <v>8</v>
      </c>
      <c r="AA115" s="325" t="s">
        <v>8</v>
      </c>
      <c r="AB115" s="325" t="s">
        <v>8</v>
      </c>
      <c r="AC115" s="325" t="s">
        <v>8</v>
      </c>
      <c r="AD115" s="325" t="s">
        <v>8</v>
      </c>
      <c r="AE115" s="325" t="s">
        <v>8</v>
      </c>
      <c r="AF115" s="325" t="s">
        <v>8</v>
      </c>
      <c r="AG115" s="325" t="s">
        <v>8</v>
      </c>
      <c r="AH115" s="325" t="s">
        <v>8</v>
      </c>
      <c r="AI115" s="325" t="s">
        <v>8</v>
      </c>
      <c r="AJ115" s="325" t="s">
        <v>8</v>
      </c>
      <c r="AK115" s="325" t="s">
        <v>8</v>
      </c>
      <c r="AL115" s="326" t="s">
        <v>8</v>
      </c>
    </row>
    <row r="116" spans="1:38" ht="14.25" outlineLevel="2">
      <c r="A116" s="1"/>
      <c r="B116" s="91" t="s">
        <v>280</v>
      </c>
      <c r="C116" s="85"/>
      <c r="D116" s="92" t="s">
        <v>281</v>
      </c>
      <c r="E116" s="93" t="s">
        <v>8</v>
      </c>
      <c r="F116" s="94" t="s">
        <v>8</v>
      </c>
      <c r="G116" s="94" t="s">
        <v>8</v>
      </c>
      <c r="H116" s="95" t="s">
        <v>8</v>
      </c>
      <c r="I116" s="327">
        <f>+IF(I52&lt;0,I52,"")</f>
        <v>0</v>
      </c>
      <c r="J116" s="327">
        <f>+IF(J52&lt;0,J52,"")</f>
        <v>0</v>
      </c>
      <c r="K116" s="327">
        <f>+IF(K52&lt;0,K52,"")</f>
        <v>0</v>
      </c>
      <c r="L116" s="327">
        <f>+IF(L52&lt;0,L52,"")</f>
        <v>0</v>
      </c>
      <c r="M116" s="327">
        <f>+IF(M52&lt;0,M52,"")</f>
        <v>0</v>
      </c>
      <c r="N116" s="327">
        <f>+IF(N52&lt;0,N52,"")</f>
        <v>0</v>
      </c>
      <c r="O116" s="327">
        <f>+IF(O52&lt;0,O52,"")</f>
        <v>0</v>
      </c>
      <c r="P116" s="327">
        <f>+IF(P52&lt;0,P52,"")</f>
        <v>0</v>
      </c>
      <c r="Q116" s="327">
        <f>+IF(Q52&lt;0,Q52,"")</f>
        <v>0</v>
      </c>
      <c r="R116" s="327" t="e">
        <f>+IF(R52&lt;0,R52,"")</f>
        <v>#REF!</v>
      </c>
      <c r="S116" s="327" t="e">
        <f>+IF(S52&lt;0,S52,"")</f>
        <v>#REF!</v>
      </c>
      <c r="T116" s="327" t="e">
        <f>+IF(T52&lt;0,T52,"")</f>
        <v>#REF!</v>
      </c>
      <c r="U116" s="327" t="e">
        <f>+IF(U52&lt;0,U52,"")</f>
        <v>#REF!</v>
      </c>
      <c r="V116" s="327" t="e">
        <f>+IF(V52&lt;0,V52,"")</f>
        <v>#REF!</v>
      </c>
      <c r="W116" s="327" t="e">
        <f>+IF(W52&lt;0,W52,"")</f>
        <v>#REF!</v>
      </c>
      <c r="X116" s="327" t="e">
        <f>+IF(X52&lt;0,X52,"")</f>
        <v>#REF!</v>
      </c>
      <c r="Y116" s="327" t="e">
        <f>+IF(Y52&lt;0,Y52,"")</f>
        <v>#REF!</v>
      </c>
      <c r="Z116" s="327" t="e">
        <f>+IF(Z52&lt;0,Z52,"")</f>
        <v>#REF!</v>
      </c>
      <c r="AA116" s="327" t="e">
        <f>+IF(AA52&lt;0,AA52,"")</f>
        <v>#REF!</v>
      </c>
      <c r="AB116" s="327" t="e">
        <f>+IF(AB52&lt;0,AB52,"")</f>
        <v>#REF!</v>
      </c>
      <c r="AC116" s="327" t="e">
        <f>+IF(AC52&lt;0,AC52,"")</f>
        <v>#REF!</v>
      </c>
      <c r="AD116" s="327" t="e">
        <f>+IF(AD52&lt;0,AD52,"")</f>
        <v>#REF!</v>
      </c>
      <c r="AE116" s="327" t="e">
        <f>+IF(AE52&lt;0,AE52,"")</f>
        <v>#REF!</v>
      </c>
      <c r="AF116" s="327" t="e">
        <f>+IF(AF52&lt;0,AF52,"")</f>
        <v>#REF!</v>
      </c>
      <c r="AG116" s="327" t="e">
        <f>+IF(AG52&lt;0,AG52,"")</f>
        <v>#REF!</v>
      </c>
      <c r="AH116" s="327" t="e">
        <f>+IF(AH52&lt;0,AH52,"")</f>
        <v>#REF!</v>
      </c>
      <c r="AI116" s="327" t="e">
        <f>+IF(AI52&lt;0,AI52,"")</f>
        <v>#REF!</v>
      </c>
      <c r="AJ116" s="327" t="e">
        <f>+IF(AJ52&lt;0,AJ52,"")</f>
        <v>#REF!</v>
      </c>
      <c r="AK116" s="327" t="e">
        <f>+IF(AK52&lt;0,AK52,"")</f>
        <v>#REF!</v>
      </c>
      <c r="AL116" s="328" t="e">
        <f>+IF(AL52&lt;0,AL52,"")</f>
        <v>#REF!</v>
      </c>
    </row>
    <row r="117" spans="1:38" ht="14.25" outlineLevel="2">
      <c r="A117" s="1" t="s">
        <v>8</v>
      </c>
      <c r="B117" s="91" t="s">
        <v>282</v>
      </c>
      <c r="C117" s="85"/>
      <c r="D117" s="92" t="s">
        <v>283</v>
      </c>
      <c r="E117" s="93" t="s">
        <v>8</v>
      </c>
      <c r="F117" s="94" t="s">
        <v>8</v>
      </c>
      <c r="G117" s="94" t="s">
        <v>8</v>
      </c>
      <c r="H117" s="95" t="s">
        <v>8</v>
      </c>
      <c r="I117" s="96">
        <f>IF(I57&lt;=I59,"",I59-I57)</f>
        <v>0</v>
      </c>
      <c r="J117" s="96">
        <f>IF(J57&lt;=J59,"",J59-J57)</f>
        <v>-0.00016666666666665525</v>
      </c>
      <c r="K117" s="96">
        <f>IF(K57&lt;=K59,"",K59-K57)</f>
        <v>-0.005999999999999998</v>
      </c>
      <c r="L117" s="96">
        <f>IF(L57&lt;=L59,"",L59-L57)</f>
        <v>0</v>
      </c>
      <c r="M117" s="96">
        <f>IF(M57&lt;=M59,"",M59-M57)</f>
        <v>0</v>
      </c>
      <c r="N117" s="96">
        <f>IF(N57&lt;=N59,"",N59-N57)</f>
        <v>0</v>
      </c>
      <c r="O117" s="96">
        <f>IF(O57&lt;=O59,"",O59-O57)</f>
        <v>0</v>
      </c>
      <c r="P117" s="96">
        <f>IF(P57&lt;=P59,"",P59-P57)</f>
        <v>0</v>
      </c>
      <c r="Q117" s="96">
        <f>IF(Q57&lt;=Q59,"",Q59-Q57)</f>
        <v>0</v>
      </c>
      <c r="R117" s="96" t="e">
        <f>IF(R57&lt;=R59,"",R59-R57)</f>
        <v>#REF!</v>
      </c>
      <c r="S117" s="96" t="e">
        <f>IF(S57&lt;=S59,"",S59-S57)</f>
        <v>#REF!</v>
      </c>
      <c r="T117" s="96" t="e">
        <f>IF(T57&lt;=T59,"",T59-T57)</f>
        <v>#REF!</v>
      </c>
      <c r="U117" s="96" t="e">
        <f>IF(U57&lt;=U59,"",U59-U57)</f>
        <v>#REF!</v>
      </c>
      <c r="V117" s="96" t="e">
        <f>IF(V57&lt;=V59,"",V59-V57)</f>
        <v>#REF!</v>
      </c>
      <c r="W117" s="96" t="e">
        <f>IF(W57&lt;=W59,"",W59-W57)</f>
        <v>#REF!</v>
      </c>
      <c r="X117" s="96" t="e">
        <f>IF(X57&lt;=X59,"",X59-X57)</f>
        <v>#REF!</v>
      </c>
      <c r="Y117" s="96" t="e">
        <f>IF(Y57&lt;=Y59,"",Y59-Y57)</f>
        <v>#REF!</v>
      </c>
      <c r="Z117" s="96" t="e">
        <f>IF(Z57&lt;=Z59,"",Z59-Z57)</f>
        <v>#REF!</v>
      </c>
      <c r="AA117" s="96" t="e">
        <f>IF(AA57&lt;=AA59,"",AA59-AA57)</f>
        <v>#REF!</v>
      </c>
      <c r="AB117" s="96" t="e">
        <f>IF(AB57&lt;=AB59,"",AB59-AB57)</f>
        <v>#REF!</v>
      </c>
      <c r="AC117" s="96" t="e">
        <f>IF(AC57&lt;=AC59,"",AC59-AC57)</f>
        <v>#REF!</v>
      </c>
      <c r="AD117" s="96" t="e">
        <f>IF(AD57&lt;=AD59,"",AD59-AD57)</f>
        <v>#REF!</v>
      </c>
      <c r="AE117" s="96" t="e">
        <f>IF(AE57&lt;=AE59,"",AE59-AE57)</f>
        <v>#REF!</v>
      </c>
      <c r="AF117" s="96" t="e">
        <f>IF(AF57&lt;=AF59,"",AF59-AF57)</f>
        <v>#REF!</v>
      </c>
      <c r="AG117" s="96" t="e">
        <f>IF(AG57&lt;=AG59,"",AG59-AG57)</f>
        <v>#REF!</v>
      </c>
      <c r="AH117" s="96" t="e">
        <f>IF(AH57&lt;=AH59,"",AH59-AH57)</f>
        <v>#REF!</v>
      </c>
      <c r="AI117" s="96" t="e">
        <f>IF(AI57&lt;=AI59,"",AI59-AI57)</f>
        <v>#REF!</v>
      </c>
      <c r="AJ117" s="96" t="e">
        <f>IF(AJ57&lt;=AJ59,"",AJ59-AJ57)</f>
        <v>#REF!</v>
      </c>
      <c r="AK117" s="96" t="e">
        <f>IF(AK57&lt;=AK59,"",AK59-AK57)</f>
        <v>#REF!</v>
      </c>
      <c r="AL117" s="329" t="e">
        <f>IF(AL57&lt;=AL59,"",AL59-AL57)</f>
        <v>#REF!</v>
      </c>
    </row>
    <row r="118" spans="1:38" ht="14.25" outlineLevel="2">
      <c r="A118" s="1" t="s">
        <v>8</v>
      </c>
      <c r="B118" s="97" t="s">
        <v>284</v>
      </c>
      <c r="C118" s="98"/>
      <c r="D118" s="99" t="s">
        <v>285</v>
      </c>
      <c r="E118" s="100" t="s">
        <v>8</v>
      </c>
      <c r="F118" s="101" t="s">
        <v>8</v>
      </c>
      <c r="G118" s="101" t="s">
        <v>8</v>
      </c>
      <c r="H118" s="102" t="s">
        <v>8</v>
      </c>
      <c r="I118" s="103">
        <f>IF(I57&lt;=I60,"",I60-I57)</f>
        <v>0</v>
      </c>
      <c r="J118" s="103">
        <f>IF(J57&lt;=J60,"",J60-J57)</f>
        <v>0</v>
      </c>
      <c r="K118" s="103">
        <f>IF(K57&lt;=K60,"",K60-K57)</f>
        <v>0</v>
      </c>
      <c r="L118" s="103">
        <f>IF(L57&lt;=L60,"",L60-L57)</f>
        <v>0</v>
      </c>
      <c r="M118" s="103">
        <f>IF(M57&lt;=M60,"",M60-M57)</f>
        <v>0</v>
      </c>
      <c r="N118" s="103">
        <f>IF(N57&lt;=N60,"",N60-N57)</f>
        <v>0</v>
      </c>
      <c r="O118" s="103">
        <f>IF(O57&lt;=O60,"",O60-O57)</f>
        <v>0</v>
      </c>
      <c r="P118" s="103">
        <f>IF(P57&lt;=P60,"",P60-P57)</f>
        <v>0</v>
      </c>
      <c r="Q118" s="103">
        <f>IF(Q57&lt;=Q60,"",Q60-Q57)</f>
        <v>0</v>
      </c>
      <c r="R118" s="103" t="e">
        <f>IF(R57&lt;=R60,"",R60-R57)</f>
        <v>#REF!</v>
      </c>
      <c r="S118" s="103" t="e">
        <f>IF(S57&lt;=S60,"",S60-S57)</f>
        <v>#REF!</v>
      </c>
      <c r="T118" s="103" t="e">
        <f>IF(T57&lt;=T60,"",T60-T57)</f>
        <v>#REF!</v>
      </c>
      <c r="U118" s="103" t="e">
        <f>IF(U57&lt;=U60,"",U60-U57)</f>
        <v>#REF!</v>
      </c>
      <c r="V118" s="103" t="e">
        <f>IF(V57&lt;=V60,"",V60-V57)</f>
        <v>#REF!</v>
      </c>
      <c r="W118" s="103" t="e">
        <f>IF(W57&lt;=W60,"",W60-W57)</f>
        <v>#REF!</v>
      </c>
      <c r="X118" s="103" t="e">
        <f>IF(X57&lt;=X60,"",X60-X57)</f>
        <v>#REF!</v>
      </c>
      <c r="Y118" s="103" t="e">
        <f>IF(Y57&lt;=Y60,"",Y60-Y57)</f>
        <v>#REF!</v>
      </c>
      <c r="Z118" s="103" t="e">
        <f>IF(Z57&lt;=Z60,"",Z60-Z57)</f>
        <v>#REF!</v>
      </c>
      <c r="AA118" s="103" t="e">
        <f>IF(AA57&lt;=AA60,"",AA60-AA57)</f>
        <v>#REF!</v>
      </c>
      <c r="AB118" s="103" t="e">
        <f>IF(AB57&lt;=AB60,"",AB60-AB57)</f>
        <v>#REF!</v>
      </c>
      <c r="AC118" s="103" t="e">
        <f>IF(AC57&lt;=AC60,"",AC60-AC57)</f>
        <v>#REF!</v>
      </c>
      <c r="AD118" s="103" t="e">
        <f>IF(AD57&lt;=AD60,"",AD60-AD57)</f>
        <v>#REF!</v>
      </c>
      <c r="AE118" s="103" t="e">
        <f>IF(AE57&lt;=AE60,"",AE60-AE57)</f>
        <v>#REF!</v>
      </c>
      <c r="AF118" s="103" t="e">
        <f>IF(AF57&lt;=AF60,"",AF60-AF57)</f>
        <v>#REF!</v>
      </c>
      <c r="AG118" s="103" t="e">
        <f>IF(AG57&lt;=AG60,"",AG60-AG57)</f>
        <v>#REF!</v>
      </c>
      <c r="AH118" s="103" t="e">
        <f>IF(AH57&lt;=AH60,"",AH60-AH57)</f>
        <v>#REF!</v>
      </c>
      <c r="AI118" s="103" t="e">
        <f>IF(AI57&lt;=AI60,"",AI60-AI57)</f>
        <v>#REF!</v>
      </c>
      <c r="AJ118" s="103" t="e">
        <f>IF(AJ57&lt;=AJ60,"",AJ60-AJ57)</f>
        <v>#REF!</v>
      </c>
      <c r="AK118" s="103" t="e">
        <f>IF(AK57&lt;=AK60,"",AK60-AK57)</f>
        <v>#REF!</v>
      </c>
      <c r="AL118" s="330" t="e">
        <f>IF(AL57&lt;=AL60,"",AL60-AL57)</f>
        <v>#REF!</v>
      </c>
    </row>
    <row r="119" spans="2:38" ht="14.25">
      <c r="B119" s="104"/>
      <c r="C119" s="104"/>
      <c r="D119" s="104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</row>
    <row r="120" spans="2:38" ht="14.25">
      <c r="B120" s="104"/>
      <c r="C120" s="104"/>
      <c r="D120" s="104"/>
      <c r="E120" s="331"/>
      <c r="F120" s="331"/>
      <c r="G120" s="331"/>
      <c r="H120" s="331"/>
      <c r="I120" s="331"/>
      <c r="J120" s="332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</row>
    <row r="121" spans="2:38" ht="14.25">
      <c r="B121" s="104"/>
      <c r="C121" s="104"/>
      <c r="D121" s="104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</row>
    <row r="122" spans="2:38" ht="14.25">
      <c r="B122" s="111"/>
      <c r="C122" s="111"/>
      <c r="D122" s="104"/>
      <c r="E122" s="333"/>
      <c r="F122" s="333"/>
      <c r="G122" s="333"/>
      <c r="H122" s="333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</row>
    <row r="123" spans="2:38" ht="14.25">
      <c r="B123" s="111"/>
      <c r="C123" s="111"/>
      <c r="D123" s="104"/>
      <c r="E123" s="333"/>
      <c r="F123" s="333"/>
      <c r="G123" s="333"/>
      <c r="H123" s="333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</row>
    <row r="124" spans="1:256" ht="15">
      <c r="A124" s="1"/>
      <c r="B124" s="112" t="s">
        <v>288</v>
      </c>
      <c r="C124" s="112"/>
      <c r="D124" s="112"/>
      <c r="E124" s="113"/>
      <c r="F124" s="113"/>
      <c r="G124" s="113"/>
      <c r="H124" s="110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4"/>
      <c r="C125" s="114"/>
      <c r="D125" s="115" t="s">
        <v>289</v>
      </c>
      <c r="E125" s="110"/>
      <c r="F125" s="110"/>
      <c r="G125" s="110"/>
      <c r="H125" s="110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4"/>
      <c r="C126" s="114"/>
      <c r="D126" s="116" t="s">
        <v>290</v>
      </c>
      <c r="E126" s="110"/>
      <c r="F126" s="110"/>
      <c r="G126" s="110"/>
      <c r="H126" s="110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4"/>
      <c r="C127" s="114"/>
      <c r="D127" s="117" t="s">
        <v>291</v>
      </c>
      <c r="E127" s="110"/>
      <c r="F127" s="110"/>
      <c r="G127" s="110"/>
      <c r="H127" s="110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8"/>
      <c r="C128" s="118"/>
      <c r="D128" s="119" t="s">
        <v>292</v>
      </c>
      <c r="E128" s="110"/>
      <c r="F128" s="110"/>
      <c r="G128" s="110"/>
      <c r="H128" s="110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34"/>
      <c r="C129" s="121" t="s">
        <v>293</v>
      </c>
      <c r="D129" s="122" t="s">
        <v>294</v>
      </c>
      <c r="E129" s="123" t="s">
        <v>8</v>
      </c>
      <c r="F129" s="124" t="s">
        <v>8</v>
      </c>
      <c r="G129" s="124" t="s">
        <v>8</v>
      </c>
      <c r="H129" s="125" t="s">
        <v>8</v>
      </c>
      <c r="I129" s="126">
        <f>IF(ROUND(I11+I33+I35,2)&gt;=ROUND(I22-I25,2),"TAK","NIE")</f>
        <v>0</v>
      </c>
      <c r="J129" s="127">
        <f>IF(ROUND(J11+J33+J35,2)&gt;=ROUND(J22-J25,2),"TAK","NIE")</f>
        <v>0</v>
      </c>
      <c r="K129" s="127">
        <f>IF(ROUND(K11+K33+K35,2)&gt;=ROUND(K22-K25,2),"TAK","NIE")</f>
        <v>0</v>
      </c>
      <c r="L129" s="127">
        <f>IF(ROUND(L11+L33+L35,2)&gt;=ROUND(L22-L25,2),"TAK","NIE")</f>
        <v>0</v>
      </c>
      <c r="M129" s="127">
        <f>IF(ROUND(M11+M33+M35,2)&gt;=ROUND(M22-M25,2),"TAK","NIE")</f>
        <v>0</v>
      </c>
      <c r="N129" s="127">
        <f>IF(ROUND(N11+N33+N35,2)&gt;=ROUND(N22-N25,2),"TAK","NIE")</f>
        <v>0</v>
      </c>
      <c r="O129" s="127">
        <f>IF(ROUND(O11+O33+O35,2)&gt;=ROUND(O22-O25,2),"TAK","NIE")</f>
        <v>0</v>
      </c>
      <c r="P129" s="127">
        <f>IF(ROUND(P11+P33+P35,2)&gt;=ROUND(P22-P25,2),"TAK","NIE")</f>
        <v>0</v>
      </c>
      <c r="Q129" s="127">
        <f>IF(ROUND(Q11+Q33+Q35,2)&gt;=ROUND(Q22-Q25,2),"TAK","NIE")</f>
        <v>0</v>
      </c>
      <c r="R129" s="127" t="e">
        <f>IF(ROUND(R11+R33+R35,2)&gt;=ROUND(R22-R25,2),"TAK","NIE")</f>
        <v>#REF!</v>
      </c>
      <c r="S129" s="127" t="e">
        <f>IF(ROUND(S11+S33+S35,2)&gt;=ROUND(S22-S25,2),"TAK","NIE")</f>
        <v>#REF!</v>
      </c>
      <c r="T129" s="127" t="e">
        <f>IF(ROUND(T11+T33+T35,2)&gt;=ROUND(T22-T25,2),"TAK","NIE")</f>
        <v>#REF!</v>
      </c>
      <c r="U129" s="127" t="e">
        <f>IF(ROUND(U11+U33+U35,2)&gt;=ROUND(U22-U25,2),"TAK","NIE")</f>
        <v>#REF!</v>
      </c>
      <c r="V129" s="127" t="e">
        <f>IF(ROUND(V11+V33+V35,2)&gt;=ROUND(V22-V25,2),"TAK","NIE")</f>
        <v>#REF!</v>
      </c>
      <c r="W129" s="127" t="e">
        <f>IF(ROUND(W11+W33+W35,2)&gt;=ROUND(W22-W25,2),"TAK","NIE")</f>
        <v>#REF!</v>
      </c>
      <c r="X129" s="127" t="e">
        <f>IF(ROUND(X11+X33+X35,2)&gt;=ROUND(X22-X25,2),"TAK","NIE")</f>
        <v>#REF!</v>
      </c>
      <c r="Y129" s="127" t="e">
        <f>IF(ROUND(Y11+Y33+Y35,2)&gt;=ROUND(Y22-Y25,2),"TAK","NIE")</f>
        <v>#REF!</v>
      </c>
      <c r="Z129" s="127" t="e">
        <f>IF(ROUND(Z11+Z33+Z35,2)&gt;=ROUND(Z22-Z25,2),"TAK","NIE")</f>
        <v>#REF!</v>
      </c>
      <c r="AA129" s="127" t="e">
        <f>IF(ROUND(AA11+AA33+AA35,2)&gt;=ROUND(AA22-AA25,2),"TAK","NIE")</f>
        <v>#REF!</v>
      </c>
      <c r="AB129" s="127" t="e">
        <f>IF(ROUND(AB11+AB33+AB35,2)&gt;=ROUND(AB22-AB25,2),"TAK","NIE")</f>
        <v>#REF!</v>
      </c>
      <c r="AC129" s="127" t="e">
        <f>IF(ROUND(AC11+AC33+AC35,2)&gt;=ROUND(AC22-AC25,2),"TAK","NIE")</f>
        <v>#REF!</v>
      </c>
      <c r="AD129" s="127" t="e">
        <f>IF(ROUND(AD11+AD33+AD35,2)&gt;=ROUND(AD22-AD25,2),"TAK","NIE")</f>
        <v>#REF!</v>
      </c>
      <c r="AE129" s="127" t="e">
        <f>IF(ROUND(AE11+AE33+AE35,2)&gt;=ROUND(AE22-AE25,2),"TAK","NIE")</f>
        <v>#REF!</v>
      </c>
      <c r="AF129" s="127" t="e">
        <f>IF(ROUND(AF11+AF33+AF35,2)&gt;=ROUND(AF22-AF25,2),"TAK","NIE")</f>
        <v>#REF!</v>
      </c>
      <c r="AG129" s="127" t="e">
        <f>IF(ROUND(AG11+AG33+AG35,2)&gt;=ROUND(AG22-AG25,2),"TAK","NIE")</f>
        <v>#REF!</v>
      </c>
      <c r="AH129" s="127" t="e">
        <f>IF(ROUND(AH11+AH33+AH35,2)&gt;=ROUND(AH22-AH25,2),"TAK","NIE")</f>
        <v>#REF!</v>
      </c>
      <c r="AI129" s="127" t="e">
        <f>IF(ROUND(AI11+AI33+AI35,2)&gt;=ROUND(AI22-AI25,2),"TAK","NIE")</f>
        <v>#REF!</v>
      </c>
      <c r="AJ129" s="127" t="e">
        <f>IF(ROUND(AJ11+AJ33+AJ35,2)&gt;=ROUND(AJ22-AJ25,2),"TAK","NIE")</f>
        <v>#REF!</v>
      </c>
      <c r="AK129" s="127" t="e">
        <f>IF(ROUND(AK11+AK33+AK35,2)&gt;=ROUND(AK22-AK25,2),"TAK","NIE")</f>
        <v>#REF!</v>
      </c>
      <c r="AL129" s="335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36"/>
      <c r="C130" s="129" t="s">
        <v>295</v>
      </c>
      <c r="D130" s="130" t="s">
        <v>296</v>
      </c>
      <c r="E130" s="131" t="s">
        <v>8</v>
      </c>
      <c r="F130" s="132" t="s">
        <v>8</v>
      </c>
      <c r="G130" s="132" t="s">
        <v>8</v>
      </c>
      <c r="H130" s="133" t="s">
        <v>8</v>
      </c>
      <c r="I130" s="134" t="s">
        <v>8</v>
      </c>
      <c r="J130" s="135" t="s">
        <v>8</v>
      </c>
      <c r="K130" s="135">
        <f>IF(K98=0,"TAK","BŁĄD")</f>
        <v>0</v>
      </c>
      <c r="L130" s="135">
        <f>IF(L98=0,"TAK","BŁĄD")</f>
        <v>0</v>
      </c>
      <c r="M130" s="135">
        <f>IF(M98=0,"TAK","BŁĄD")</f>
        <v>0</v>
      </c>
      <c r="N130" s="135">
        <f>IF(N98=0,"TAK","BŁĄD")</f>
        <v>0</v>
      </c>
      <c r="O130" s="135">
        <f>IF(O98=0,"TAK","BŁĄD")</f>
        <v>0</v>
      </c>
      <c r="P130" s="135">
        <f>IF(P98=0,"TAK","BŁĄD")</f>
        <v>0</v>
      </c>
      <c r="Q130" s="135">
        <f>IF(Q98=0,"TAK","BŁĄD")</f>
        <v>0</v>
      </c>
      <c r="R130" s="135" t="e">
        <f>IF(R98=0,"TAK","BŁĄD")</f>
        <v>#REF!</v>
      </c>
      <c r="S130" s="135" t="e">
        <f>IF(S98=0,"TAK","BŁĄD")</f>
        <v>#REF!</v>
      </c>
      <c r="T130" s="135" t="e">
        <f>IF(T98=0,"TAK","BŁĄD")</f>
        <v>#REF!</v>
      </c>
      <c r="U130" s="135" t="e">
        <f>IF(U98=0,"TAK","BŁĄD")</f>
        <v>#REF!</v>
      </c>
      <c r="V130" s="135" t="e">
        <f>IF(V98=0,"TAK","BŁĄD")</f>
        <v>#REF!</v>
      </c>
      <c r="W130" s="135" t="e">
        <f>IF(W98=0,"TAK","BŁĄD")</f>
        <v>#REF!</v>
      </c>
      <c r="X130" s="135" t="e">
        <f>IF(X98=0,"TAK","BŁĄD")</f>
        <v>#REF!</v>
      </c>
      <c r="Y130" s="135" t="e">
        <f>IF(Y98=0,"TAK","BŁĄD")</f>
        <v>#REF!</v>
      </c>
      <c r="Z130" s="135" t="e">
        <f>IF(Z98=0,"TAK","BŁĄD")</f>
        <v>#REF!</v>
      </c>
      <c r="AA130" s="135" t="e">
        <f>IF(AA98=0,"TAK","BŁĄD")</f>
        <v>#REF!</v>
      </c>
      <c r="AB130" s="135" t="e">
        <f>IF(AB98=0,"TAK","BŁĄD")</f>
        <v>#REF!</v>
      </c>
      <c r="AC130" s="135" t="e">
        <f>IF(AC98=0,"TAK","BŁĄD")</f>
        <v>#REF!</v>
      </c>
      <c r="AD130" s="135" t="e">
        <f>IF(AD98=0,"TAK","BŁĄD")</f>
        <v>#REF!</v>
      </c>
      <c r="AE130" s="135" t="e">
        <f>IF(AE98=0,"TAK","BŁĄD")</f>
        <v>#REF!</v>
      </c>
      <c r="AF130" s="135" t="e">
        <f>IF(AF98=0,"TAK","BŁĄD")</f>
        <v>#REF!</v>
      </c>
      <c r="AG130" s="135" t="e">
        <f>IF(AG98=0,"TAK","BŁĄD")</f>
        <v>#REF!</v>
      </c>
      <c r="AH130" s="135" t="e">
        <f>IF(AH98=0,"TAK","BŁĄD")</f>
        <v>#REF!</v>
      </c>
      <c r="AI130" s="135" t="e">
        <f>IF(AI98=0,"TAK","BŁĄD")</f>
        <v>#REF!</v>
      </c>
      <c r="AJ130" s="135" t="e">
        <f>IF(AJ98=0,"TAK","BŁĄD")</f>
        <v>#REF!</v>
      </c>
      <c r="AK130" s="135" t="e">
        <f>IF(AK98=0,"TAK","BŁĄD")</f>
        <v>#REF!</v>
      </c>
      <c r="AL130" s="337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36"/>
      <c r="C131" s="129" t="s">
        <v>297</v>
      </c>
      <c r="D131" s="136" t="s">
        <v>298</v>
      </c>
      <c r="E131" s="131" t="s">
        <v>8</v>
      </c>
      <c r="F131" s="132" t="s">
        <v>8</v>
      </c>
      <c r="G131" s="132" t="s">
        <v>8</v>
      </c>
      <c r="H131" s="133" t="s">
        <v>8</v>
      </c>
      <c r="I131" s="137">
        <f>IF(ROUND(I10+I32-I21-I41,2)=0,"OK",ROUND(I10+I32-I21-I41,2))</f>
        <v>0</v>
      </c>
      <c r="J131" s="138">
        <f>IF(ROUND(J10+J32-J21-J41,2)=0,"OK",ROUND(J10+J32-J21-J41,2))</f>
        <v>0</v>
      </c>
      <c r="K131" s="138">
        <f>IF(ROUND(K10+K32-K21-K41,2)=0,"OK",ROUND(K10+K32-K21-K41,2))</f>
        <v>0</v>
      </c>
      <c r="L131" s="138">
        <f>IF(ROUND(L10+L32-L21-L41,2)=0,"OK",ROUND(L10+L32-L21-L41,2))</f>
        <v>0</v>
      </c>
      <c r="M131" s="138">
        <f>IF(ROUND(M10+M32-M21-M41,2)=0,"OK",ROUND(M10+M32-M21-M41,2))</f>
        <v>0</v>
      </c>
      <c r="N131" s="138">
        <f>IF(ROUND(N10+N32-N21-N41,2)=0,"OK",ROUND(N10+N32-N21-N41,2))</f>
        <v>0</v>
      </c>
      <c r="O131" s="138">
        <f>IF(ROUND(O10+O32-O21-O41,2)=0,"OK",ROUND(O10+O32-O21-O41,2))</f>
        <v>0</v>
      </c>
      <c r="P131" s="138">
        <f>IF(ROUND(P10+P32-P21-P41,2)=0,"OK",ROUND(P10+P32-P21-P41,2))</f>
        <v>0</v>
      </c>
      <c r="Q131" s="138">
        <f>IF(ROUND(Q10+Q32-Q21-Q41,2)=0,"OK",ROUND(Q10+Q32-Q21-Q41,2))</f>
        <v>0</v>
      </c>
      <c r="R131" s="138" t="e">
        <f>IF(ROUND(R10+R32-R21-R41,2)=0,"OK",ROUND(R10+R32-R21-R41,2))</f>
        <v>#REF!</v>
      </c>
      <c r="S131" s="138" t="e">
        <f>IF(ROUND(S10+S32-S21-S41,2)=0,"OK",ROUND(S10+S32-S21-S41,2))</f>
        <v>#REF!</v>
      </c>
      <c r="T131" s="138" t="e">
        <f>IF(ROUND(T10+T32-T21-T41,2)=0,"OK",ROUND(T10+T32-T21-T41,2))</f>
        <v>#REF!</v>
      </c>
      <c r="U131" s="138" t="e">
        <f>IF(ROUND(U10+U32-U21-U41,2)=0,"OK",ROUND(U10+U32-U21-U41,2))</f>
        <v>#REF!</v>
      </c>
      <c r="V131" s="138" t="e">
        <f>IF(ROUND(V10+V32-V21-V41,2)=0,"OK",ROUND(V10+V32-V21-V41,2))</f>
        <v>#REF!</v>
      </c>
      <c r="W131" s="138" t="e">
        <f>IF(ROUND(W10+W32-W21-W41,2)=0,"OK",ROUND(W10+W32-W21-W41,2))</f>
        <v>#REF!</v>
      </c>
      <c r="X131" s="138" t="e">
        <f>IF(ROUND(X10+X32-X21-X41,2)=0,"OK",ROUND(X10+X32-X21-X41,2))</f>
        <v>#REF!</v>
      </c>
      <c r="Y131" s="138" t="e">
        <f>IF(ROUND(Y10+Y32-Y21-Y41,2)=0,"OK",ROUND(Y10+Y32-Y21-Y41,2))</f>
        <v>#REF!</v>
      </c>
      <c r="Z131" s="138" t="e">
        <f>IF(ROUND(Z10+Z32-Z21-Z41,2)=0,"OK",ROUND(Z10+Z32-Z21-Z41,2))</f>
        <v>#REF!</v>
      </c>
      <c r="AA131" s="138" t="e">
        <f>IF(ROUND(AA10+AA32-AA21-AA41,2)=0,"OK",ROUND(AA10+AA32-AA21-AA41,2))</f>
        <v>#REF!</v>
      </c>
      <c r="AB131" s="138" t="e">
        <f>IF(ROUND(AB10+AB32-AB21-AB41,2)=0,"OK",ROUND(AB10+AB32-AB21-AB41,2))</f>
        <v>#REF!</v>
      </c>
      <c r="AC131" s="138" t="e">
        <f>IF(ROUND(AC10+AC32-AC21-AC41,2)=0,"OK",ROUND(AC10+AC32-AC21-AC41,2))</f>
        <v>#REF!</v>
      </c>
      <c r="AD131" s="138" t="e">
        <f>IF(ROUND(AD10+AD32-AD21-AD41,2)=0,"OK",ROUND(AD10+AD32-AD21-AD41,2))</f>
        <v>#REF!</v>
      </c>
      <c r="AE131" s="138" t="e">
        <f>IF(ROUND(AE10+AE32-AE21-AE41,2)=0,"OK",ROUND(AE10+AE32-AE21-AE41,2))</f>
        <v>#REF!</v>
      </c>
      <c r="AF131" s="138" t="e">
        <f>IF(ROUND(AF10+AF32-AF21-AF41,2)=0,"OK",ROUND(AF10+AF32-AF21-AF41,2))</f>
        <v>#REF!</v>
      </c>
      <c r="AG131" s="138" t="e">
        <f>IF(ROUND(AG10+AG32-AG21-AG41,2)=0,"OK",ROUND(AG10+AG32-AG21-AG41,2))</f>
        <v>#REF!</v>
      </c>
      <c r="AH131" s="138" t="e">
        <f>IF(ROUND(AH10+AH32-AH21-AH41,2)=0,"OK",ROUND(AH10+AH32-AH21-AH41,2))</f>
        <v>#REF!</v>
      </c>
      <c r="AI131" s="138" t="e">
        <f>IF(ROUND(AI10+AI32-AI21-AI41,2)=0,"OK",ROUND(AI10+AI32-AI21-AI41,2))</f>
        <v>#REF!</v>
      </c>
      <c r="AJ131" s="138" t="e">
        <f>IF(ROUND(AJ10+AJ32-AJ21-AJ41,2)=0,"OK",ROUND(AJ10+AJ32-AJ21-AJ41,2))</f>
        <v>#REF!</v>
      </c>
      <c r="AK131" s="138" t="e">
        <f>IF(ROUND(AK10+AK32-AK21-AK41,2)=0,"OK",ROUND(AK10+AK32-AK21-AK41,2))</f>
        <v>#REF!</v>
      </c>
      <c r="AL131" s="338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39"/>
      <c r="C132" s="140" t="s">
        <v>299</v>
      </c>
      <c r="D132" s="136" t="s">
        <v>300</v>
      </c>
      <c r="E132" s="131" t="s">
        <v>8</v>
      </c>
      <c r="F132" s="132" t="s">
        <v>8</v>
      </c>
      <c r="G132" s="132" t="s">
        <v>8</v>
      </c>
      <c r="H132" s="133" t="s">
        <v>8</v>
      </c>
      <c r="I132" s="137">
        <f>+IF(ROUND(H48+I37-I42+(I105-H105)+I110-I48,2)=0,"OK",ROUND(H48+I37-I42+(I105-H105)+I110-I48,2))</f>
        <v>0</v>
      </c>
      <c r="J132" s="138">
        <f>+IF(ROUND(I48+J37-J42+(J105-I105)+J110-J48,2)=0,"OK",ROUND(I48+J37-J42+(J105-I105)+J110-J48,2))</f>
        <v>0</v>
      </c>
      <c r="K132" s="138">
        <f>+IF(ROUND(J48+K37-K42+(K105-J105)+K110-K48,2)=0,"OK",ROUND(J48+K37-K42+(K105-J105)+K110-K48,2))</f>
        <v>0</v>
      </c>
      <c r="L132" s="138">
        <f>+IF(ROUND(K48+L37-L42+(L105-K105)+L110-L48,2)=0,"OK",ROUND(K48+L37-L42+(L105-K105)+L110-L48,2))</f>
        <v>0</v>
      </c>
      <c r="M132" s="138">
        <f>+IF(ROUND(L48+M37-M42+(M105-L105)+M110-M48,2)=0,"OK",ROUND(L48+M37-M42+(M105-L105)+M110-M48,2))</f>
        <v>0</v>
      </c>
      <c r="N132" s="138">
        <f>+IF(ROUND(M48+N37-N42+(N105-M105)+N110-N48,2)=0,"OK",ROUND(M48+N37-N42+(N105-M105)+N110-N48,2))</f>
        <v>0</v>
      </c>
      <c r="O132" s="138">
        <f>+IF(ROUND(N48+O37-O42+(O105-N105)+O110-O48,2)=0,"OK",ROUND(N48+O37-O42+(O105-N105)+O110-O48,2))</f>
        <v>0</v>
      </c>
      <c r="P132" s="138">
        <f>+IF(ROUND(O48+P37-P42+(P105-O105)+P110-P48,2)=0,"OK",ROUND(O48+P37-P42+(P105-O105)+P110-P48,2))</f>
        <v>0</v>
      </c>
      <c r="Q132" s="138">
        <f>+IF(ROUND(P48+Q37-Q42+(Q105-P105)+Q110-Q48,2)=0,"OK",ROUND(P48+Q37-Q42+(Q105-P105)+Q110-Q48,2))</f>
        <v>0</v>
      </c>
      <c r="R132" s="138" t="e">
        <f>+IF(ROUND(Q48+R37-R42+(R105-Q105)+R110-R48,2)=0,"OK",ROUND(Q48+R37-R42+(R105-Q105)+R110-R48,2))</f>
        <v>#REF!</v>
      </c>
      <c r="S132" s="138" t="e">
        <f>+IF(ROUND(R48+S37-S42+(S105-R105)+S110-S48,2)=0,"OK",ROUND(R48+S37-S42+(S105-R105)+S110-S48,2))</f>
        <v>#REF!</v>
      </c>
      <c r="T132" s="138" t="e">
        <f>+IF(ROUND(S48+T37-T42+(T105-S105)+T110-T48,2)=0,"OK",ROUND(S48+T37-T42+(T105-S105)+T110-T48,2))</f>
        <v>#REF!</v>
      </c>
      <c r="U132" s="138" t="e">
        <f>+IF(ROUND(T48+U37-U42+(U105-T105)+U110-U48,2)=0,"OK",ROUND(T48+U37-U42+(U105-T105)+U110-U48,2))</f>
        <v>#REF!</v>
      </c>
      <c r="V132" s="138" t="e">
        <f>+IF(ROUND(U48+V37-V42+(V105-U105)+V110-V48,2)=0,"OK",ROUND(U48+V37-V42+(V105-U105)+V110-V48,2))</f>
        <v>#REF!</v>
      </c>
      <c r="W132" s="138" t="e">
        <f>+IF(ROUND(V48+W37-W42+(W105-V105)+W110-W48,2)=0,"OK",ROUND(V48+W37-W42+(W105-V105)+W110-W48,2))</f>
        <v>#REF!</v>
      </c>
      <c r="X132" s="138" t="e">
        <f>+IF(ROUND(W48+X37-X42+(X105-W105)+X110-X48,2)=0,"OK",ROUND(W48+X37-X42+(X105-W105)+X110-X48,2))</f>
        <v>#REF!</v>
      </c>
      <c r="Y132" s="138" t="e">
        <f>+IF(ROUND(X48+Y37-Y42+(Y105-X105)+Y110-Y48,2)=0,"OK",ROUND(X48+Y37-Y42+(Y105-X105)+Y110-Y48,2))</f>
        <v>#REF!</v>
      </c>
      <c r="Z132" s="138" t="e">
        <f>+IF(ROUND(Y48+Z37-Z42+(Z105-Y105)+Z110-Z48,2)=0,"OK",ROUND(Y48+Z37-Z42+(Z105-Y105)+Z110-Z48,2))</f>
        <v>#REF!</v>
      </c>
      <c r="AA132" s="138" t="e">
        <f>+IF(ROUND(Z48+AA37-AA42+(AA105-Z105)+AA110-AA48,2)=0,"OK",ROUND(Z48+AA37-AA42+(AA105-Z105)+AA110-AA48,2))</f>
        <v>#REF!</v>
      </c>
      <c r="AB132" s="138" t="e">
        <f>+IF(ROUND(AA48+AB37-AB42+(AB105-AA105)+AB110-AB48,2)=0,"OK",ROUND(AA48+AB37-AB42+(AB105-AA105)+AB110-AB48,2))</f>
        <v>#REF!</v>
      </c>
      <c r="AC132" s="138" t="e">
        <f>+IF(ROUND(AB48+AC37-AC42+(AC105-AB105)+AC110-AC48,2)=0,"OK",ROUND(AB48+AC37-AC42+(AC105-AB105)+AC110-AC48,2))</f>
        <v>#REF!</v>
      </c>
      <c r="AD132" s="138" t="e">
        <f>+IF(ROUND(AC48+AD37-AD42+(AD105-AC105)+AD110-AD48,2)=0,"OK",ROUND(AC48+AD37-AD42+(AD105-AC105)+AD110-AD48,2))</f>
        <v>#REF!</v>
      </c>
      <c r="AE132" s="138" t="e">
        <f>+IF(ROUND(AD48+AE37-AE42+(AE105-AD105)+AE110-AE48,2)=0,"OK",ROUND(AD48+AE37-AE42+(AE105-AD105)+AE110-AE48,2))</f>
        <v>#REF!</v>
      </c>
      <c r="AF132" s="138" t="e">
        <f>+IF(ROUND(AE48+AF37-AF42+(AF105-AE105)+AF110-AF48,2)=0,"OK",ROUND(AE48+AF37-AF42+(AF105-AE105)+AF110-AF48,2))</f>
        <v>#REF!</v>
      </c>
      <c r="AG132" s="138" t="e">
        <f>+IF(ROUND(AF48+AG37-AG42+(AG105-AF105)+AG110-AG48,2)=0,"OK",ROUND(AF48+AG37-AG42+(AG105-AF105)+AG110-AG48,2))</f>
        <v>#REF!</v>
      </c>
      <c r="AH132" s="138" t="e">
        <f>+IF(ROUND(AG48+AH37-AH42+(AH105-AG105)+AH110-AH48,2)=0,"OK",ROUND(AG48+AH37-AH42+(AH105-AG105)+AH110-AH48,2))</f>
        <v>#REF!</v>
      </c>
      <c r="AI132" s="138" t="e">
        <f>+IF(ROUND(AH48+AI37-AI42+(AI105-AH105)+AI110-AI48,2)=0,"OK",ROUND(AH48+AI37-AI42+(AI105-AH105)+AI110-AI48,2))</f>
        <v>#REF!</v>
      </c>
      <c r="AJ132" s="138" t="e">
        <f>+IF(ROUND(AI48+AJ37-AJ42+(AJ105-AI105)+AJ110-AJ48,2)=0,"OK",ROUND(AI48+AJ37-AJ42+(AJ105-AI105)+AJ110-AJ48,2))</f>
        <v>#REF!</v>
      </c>
      <c r="AK132" s="138" t="e">
        <f>+IF(ROUND(AJ48+AK37-AK42+(AK105-AJ105)+AK110-AK48,2)=0,"OK",ROUND(AJ48+AK37-AK42+(AK105-AJ105)+AK110-AK48,2))</f>
        <v>#REF!</v>
      </c>
      <c r="AL132" s="338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39"/>
      <c r="C133" s="140" t="s">
        <v>301</v>
      </c>
      <c r="D133" s="136" t="s">
        <v>302</v>
      </c>
      <c r="E133" s="131" t="s">
        <v>8</v>
      </c>
      <c r="F133" s="132" t="s">
        <v>8</v>
      </c>
      <c r="G133" s="132" t="s">
        <v>8</v>
      </c>
      <c r="H133" s="133" t="s">
        <v>8</v>
      </c>
      <c r="I133" s="138">
        <f>+IF(H105=0,"N/D",IF(ROUND(I105+I106-H105,2)=0,"OK",ROUND(I105+I106-H105,2)))</f>
        <v>0</v>
      </c>
      <c r="J133" s="138">
        <f>+IF(I105=0,"N/D",IF(ROUND(J105+J106-I105,2)=0,"OK",ROUND(J105+J106-I105,2)))</f>
        <v>0</v>
      </c>
      <c r="K133" s="138">
        <f>+IF(J105=0,"N/D",IF(ROUND(K105+K106-J105,2)=0,"OK",ROUND(K105+K106-J105,2)))</f>
        <v>0</v>
      </c>
      <c r="L133" s="138">
        <f>+IF(K105=0,"N/D",IF(ROUND(L105+L106-K105,2)=0,"OK",ROUND(L105+L106-K105,2)))</f>
        <v>0</v>
      </c>
      <c r="M133" s="138">
        <f>+IF(L105=0,"N/D",IF(ROUND(M105+M106-L105,2)=0,"OK",ROUND(M105+M106-L105,2)))</f>
        <v>0</v>
      </c>
      <c r="N133" s="138">
        <f>+IF(M105=0,"N/D",IF(ROUND(N105+N106-M105,2)=0,"OK",ROUND(N105+N106-M105,2)))</f>
        <v>0</v>
      </c>
      <c r="O133" s="138">
        <f>+IF(N105=0,"N/D",IF(ROUND(O105+O106-N105,2)=0,"OK",ROUND(O105+O106-N105,2)))</f>
        <v>0</v>
      </c>
      <c r="P133" s="138">
        <f>+IF(O105=0,"N/D",IF(ROUND(P105+P106-O105,2)=0,"OK",ROUND(P105+P106-O105,2)))</f>
        <v>0</v>
      </c>
      <c r="Q133" s="138">
        <f>+IF(P105=0,"N/D",IF(ROUND(Q105+Q106-P105,2)=0,"OK",ROUND(Q105+Q106-P105,2)))</f>
        <v>0</v>
      </c>
      <c r="R133" s="138">
        <f>+IF(Q105=0,"N/D",IF(ROUND(R105+R106-Q105,2)=0,"OK",ROUND(R105+R106-Q105,2)))</f>
        <v>0</v>
      </c>
      <c r="S133" s="138" t="e">
        <f>+IF(R105=0,"N/D",IF(ROUND(S105+S106-R105,2)=0,"OK",ROUND(S105+S106-R105,2)))</f>
        <v>#REF!</v>
      </c>
      <c r="T133" s="138" t="e">
        <f>+IF(S105=0,"N/D",IF(ROUND(T105+T106-S105,2)=0,"OK",ROUND(T105+T106-S105,2)))</f>
        <v>#REF!</v>
      </c>
      <c r="U133" s="138" t="e">
        <f>+IF(T105=0,"N/D",IF(ROUND(U105+U106-T105,2)=0,"OK",ROUND(U105+U106-T105,2)))</f>
        <v>#REF!</v>
      </c>
      <c r="V133" s="138" t="e">
        <f>+IF(U105=0,"N/D",IF(ROUND(V105+V106-U105,2)=0,"OK",ROUND(V105+V106-U105,2)))</f>
        <v>#REF!</v>
      </c>
      <c r="W133" s="138" t="e">
        <f>+IF(V105=0,"N/D",IF(ROUND(W105+W106-V105,2)=0,"OK",ROUND(W105+W106-V105,2)))</f>
        <v>#REF!</v>
      </c>
      <c r="X133" s="138" t="e">
        <f>+IF(W105=0,"N/D",IF(ROUND(X105+X106-W105,2)=0,"OK",ROUND(X105+X106-W105,2)))</f>
        <v>#REF!</v>
      </c>
      <c r="Y133" s="138" t="e">
        <f>+IF(X105=0,"N/D",IF(ROUND(Y105+Y106-X105,2)=0,"OK",ROUND(Y105+Y106-X105,2)))</f>
        <v>#REF!</v>
      </c>
      <c r="Z133" s="138" t="e">
        <f>+IF(Y105=0,"N/D",IF(ROUND(Z105+Z106-Y105,2)=0,"OK",ROUND(Z105+Z106-Y105,2)))</f>
        <v>#REF!</v>
      </c>
      <c r="AA133" s="138" t="e">
        <f>+IF(Z105=0,"N/D",IF(ROUND(AA105+AA106-Z105,2)=0,"OK",ROUND(AA105+AA106-Z105,2)))</f>
        <v>#REF!</v>
      </c>
      <c r="AB133" s="138" t="e">
        <f>+IF(AA105=0,"N/D",IF(ROUND(AB105+AB106-AA105,2)=0,"OK",ROUND(AB105+AB106-AA105,2)))</f>
        <v>#REF!</v>
      </c>
      <c r="AC133" s="138" t="e">
        <f>+IF(AB105=0,"N/D",IF(ROUND(AC105+AC106-AB105,2)=0,"OK",ROUND(AC105+AC106-AB105,2)))</f>
        <v>#REF!</v>
      </c>
      <c r="AD133" s="138" t="e">
        <f>+IF(AC105=0,"N/D",IF(ROUND(AD105+AD106-AC105,2)=0,"OK",ROUND(AD105+AD106-AC105,2)))</f>
        <v>#REF!</v>
      </c>
      <c r="AE133" s="138" t="e">
        <f>+IF(AD105=0,"N/D",IF(ROUND(AE105+AE106-AD105,2)=0,"OK",ROUND(AE105+AE106-AD105,2)))</f>
        <v>#REF!</v>
      </c>
      <c r="AF133" s="138" t="e">
        <f>+IF(AE105=0,"N/D",IF(ROUND(AF105+AF106-AE105,2)=0,"OK",ROUND(AF105+AF106-AE105,2)))</f>
        <v>#REF!</v>
      </c>
      <c r="AG133" s="138" t="e">
        <f>+IF(AF105=0,"N/D",IF(ROUND(AG105+AG106-AF105,2)=0,"OK",ROUND(AG105+AG106-AF105,2)))</f>
        <v>#REF!</v>
      </c>
      <c r="AH133" s="138" t="e">
        <f>+IF(AG105=0,"N/D",IF(ROUND(AH105+AH106-AG105,2)=0,"OK",ROUND(AH105+AH106-AG105,2)))</f>
        <v>#REF!</v>
      </c>
      <c r="AI133" s="138" t="e">
        <f>+IF(AH105=0,"N/D",IF(ROUND(AI105+AI106-AH105,2)=0,"OK",ROUND(AI105+AI106-AH105,2)))</f>
        <v>#REF!</v>
      </c>
      <c r="AJ133" s="138" t="e">
        <f>+IF(AI105=0,"N/D",IF(ROUND(AJ105+AJ106-AI105,2)=0,"OK",ROUND(AJ105+AJ106-AI105,2)))</f>
        <v>#REF!</v>
      </c>
      <c r="AK133" s="138" t="e">
        <f>+IF(AJ105=0,"N/D",IF(ROUND(AK105+AK106-AJ105,2)=0,"OK",ROUND(AK105+AK106-AJ105,2)))</f>
        <v>#REF!</v>
      </c>
      <c r="AL133" s="338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39"/>
      <c r="C134" s="140" t="s">
        <v>303</v>
      </c>
      <c r="D134" s="136" t="s">
        <v>304</v>
      </c>
      <c r="E134" s="131" t="s">
        <v>8</v>
      </c>
      <c r="F134" s="132" t="s">
        <v>8</v>
      </c>
      <c r="G134" s="132" t="s">
        <v>8</v>
      </c>
      <c r="H134" s="133" t="s">
        <v>8</v>
      </c>
      <c r="I134" s="137">
        <f>+IF(H96=0,"N/D",IF(ROUND(I96+(I98+I99+I100+I101)-H96,2)=0,"OK",ROUND(I96+(I98+I99+I100+I101)-H96,2)))</f>
        <v>0</v>
      </c>
      <c r="J134" s="138">
        <f>+IF(I96=0,"N/D",IF(ROUND(J96+(J98+J99+J100+J101)-I96,2)=0,"OK",ROUND(J96+(J98+J99+J100+J101)-I96,2)))</f>
        <v>0</v>
      </c>
      <c r="K134" s="138">
        <f>+IF(J96=0,"N/D",IF(ROUND(K96+(K98+K99+K100+K101)-J96,2)=0,"OK",ROUND(K96+(K98+K99+K100+K101)-J96,2)))</f>
        <v>0</v>
      </c>
      <c r="L134" s="138">
        <f>+IF(K96=0,"N/D",IF(ROUND(L96+(L98+L99+L100+L101)-K96,2)=0,"OK",ROUND(L96+(L98+L99+L100+L101)-K96,2)))</f>
        <v>0</v>
      </c>
      <c r="M134" s="138">
        <f>+IF(L96=0,"N/D",IF(ROUND(M96+(M98+M99+M100+M101)-L96,2)=0,"OK",ROUND(M96+(M98+M99+M100+M101)-L96,2)))</f>
        <v>0</v>
      </c>
      <c r="N134" s="138">
        <f>+IF(M96=0,"N/D",IF(ROUND(N96+(N98+N99+N100+N101)-M96,2)=0,"OK",ROUND(N96+(N98+N99+N100+N101)-M96,2)))</f>
        <v>0</v>
      </c>
      <c r="O134" s="138">
        <f>+IF(N96=0,"N/D",IF(ROUND(O96+(O98+O99+O100+O101)-N96,2)=0,"OK",ROUND(O96+(O98+O99+O100+O101)-N96,2)))</f>
        <v>0</v>
      </c>
      <c r="P134" s="138">
        <f>+IF(O96=0,"N/D",IF(ROUND(P96+(P98+P99+P100+P101)-O96,2)=0,"OK",ROUND(P96+(P98+P99+P100+P101)-O96,2)))</f>
        <v>0</v>
      </c>
      <c r="Q134" s="138">
        <f>+IF(P96=0,"N/D",IF(ROUND(Q96+(Q98+Q99+Q100+Q101)-P96,2)=0,"OK",ROUND(Q96+(Q98+Q99+Q100+Q101)-P96,2)))</f>
        <v>0</v>
      </c>
      <c r="R134" s="138">
        <f>+IF(Q96=0,"N/D",IF(ROUND(R96+(R98+R99+R100+R101)-Q96,2)=0,"OK",ROUND(R96+(R98+R99+R100+R101)-Q96,2)))</f>
        <v>0</v>
      </c>
      <c r="S134" s="138" t="e">
        <f>+IF(R96=0,"N/D",IF(ROUND(S96+(S98+S99+S100+S101)-R96,2)=0,"OK",ROUND(S96+(S98+S99+S100+S101)-R96,2)))</f>
        <v>#REF!</v>
      </c>
      <c r="T134" s="138" t="e">
        <f>+IF(S96=0,"N/D",IF(ROUND(T96+(T98+T99+T100+T101)-S96,2)=0,"OK",ROUND(T96+(T98+T99+T100+T101)-S96,2)))</f>
        <v>#REF!</v>
      </c>
      <c r="U134" s="138" t="e">
        <f>+IF(T96=0,"N/D",IF(ROUND(U96+(U98+U99+U100+U101)-T96,2)=0,"OK",ROUND(U96+(U98+U99+U100+U101)-T96,2)))</f>
        <v>#REF!</v>
      </c>
      <c r="V134" s="138" t="e">
        <f>+IF(U96=0,"N/D",IF(ROUND(V96+(V98+V99+V100+V101)-U96,2)=0,"OK",ROUND(V96+(V98+V99+V100+V101)-U96,2)))</f>
        <v>#REF!</v>
      </c>
      <c r="W134" s="138" t="e">
        <f>+IF(V96=0,"N/D",IF(ROUND(W96+(W98+W99+W100+W101)-V96,2)=0,"OK",ROUND(W96+(W98+W99+W100+W101)-V96,2)))</f>
        <v>#REF!</v>
      </c>
      <c r="X134" s="138" t="e">
        <f>+IF(W96=0,"N/D",IF(ROUND(X96+(X98+X99+X100+X101)-W96,2)=0,"OK",ROUND(X96+(X98+X99+X100+X101)-W96,2)))</f>
        <v>#REF!</v>
      </c>
      <c r="Y134" s="138" t="e">
        <f>+IF(X96=0,"N/D",IF(ROUND(Y96+(Y98+Y99+Y100+Y101)-X96,2)=0,"OK",ROUND(Y96+(Y98+Y99+Y100+Y101)-X96,2)))</f>
        <v>#REF!</v>
      </c>
      <c r="Z134" s="138" t="e">
        <f>+IF(Y96=0,"N/D",IF(ROUND(Z96+(Z98+Z99+Z100+Z101)-Y96,2)=0,"OK",ROUND(Z96+(Z98+Z99+Z100+Z101)-Y96,2)))</f>
        <v>#REF!</v>
      </c>
      <c r="AA134" s="138" t="e">
        <f>+IF(Z96=0,"N/D",IF(ROUND(AA96+(AA98+AA99+AA100+AA101)-Z96,2)=0,"OK",ROUND(AA96+(AA98+AA99+AA100+AA101)-Z96,2)))</f>
        <v>#REF!</v>
      </c>
      <c r="AB134" s="138" t="e">
        <f>+IF(AA96=0,"N/D",IF(ROUND(AB96+(AB98+AB99+AB100+AB101)-AA96,2)=0,"OK",ROUND(AB96+(AB98+AB99+AB100+AB101)-AA96,2)))</f>
        <v>#REF!</v>
      </c>
      <c r="AC134" s="138" t="e">
        <f>+IF(AB96=0,"N/D",IF(ROUND(AC96+(AC98+AC99+AC100+AC101)-AB96,2)=0,"OK",ROUND(AC96+(AC98+AC99+AC100+AC101)-AB96,2)))</f>
        <v>#REF!</v>
      </c>
      <c r="AD134" s="138" t="e">
        <f>+IF(AC96=0,"N/D",IF(ROUND(AD96+(AD98+AD99+AD100+AD101)-AC96,2)=0,"OK",ROUND(AD96+(AD98+AD99+AD100+AD101)-AC96,2)))</f>
        <v>#REF!</v>
      </c>
      <c r="AE134" s="138" t="e">
        <f>+IF(AD96=0,"N/D",IF(ROUND(AE96+(AE98+AE99+AE100+AE101)-AD96,2)=0,"OK",ROUND(AE96+(AE98+AE99+AE100+AE101)-AD96,2)))</f>
        <v>#REF!</v>
      </c>
      <c r="AF134" s="138" t="e">
        <f>+IF(AE96=0,"N/D",IF(ROUND(AF96+(AF98+AF99+AF100+AF101)-AE96,2)=0,"OK",ROUND(AF96+(AF98+AF99+AF100+AF101)-AE96,2)))</f>
        <v>#REF!</v>
      </c>
      <c r="AG134" s="138" t="e">
        <f>+IF(AF96=0,"N/D",IF(ROUND(AG96+(AG98+AG99+AG100+AG101)-AF96,2)=0,"OK",ROUND(AG96+(AG98+AG99+AG100+AG101)-AF96,2)))</f>
        <v>#REF!</v>
      </c>
      <c r="AH134" s="138" t="e">
        <f>+IF(AG96=0,"N/D",IF(ROUND(AH96+(AH98+AH99+AH100+AH101)-AG96,2)=0,"OK",ROUND(AH96+(AH98+AH99+AH100+AH101)-AG96,2)))</f>
        <v>#REF!</v>
      </c>
      <c r="AI134" s="138" t="e">
        <f>+IF(AH96=0,"N/D",IF(ROUND(AI96+(AI98+AI99+AI100+AI101)-AH96,2)=0,"OK",ROUND(AI96+(AI98+AI99+AI100+AI101)-AH96,2)))</f>
        <v>#REF!</v>
      </c>
      <c r="AJ134" s="138" t="e">
        <f>+IF(AI96=0,"N/D",IF(ROUND(AJ96+(AJ98+AJ99+AJ100+AJ101)-AI96,2)=0,"OK",ROUND(AJ96+(AJ98+AJ99+AJ100+AJ101)-AI96,2)))</f>
        <v>#REF!</v>
      </c>
      <c r="AK134" s="138" t="e">
        <f>+IF(AJ96=0,"N/D",IF(ROUND(AK96+(AK98+AK99+AK100+AK101)-AJ96,2)=0,"OK",ROUND(AK96+(AK98+AK99+AK100+AK101)-AJ96,2)))</f>
        <v>#REF!</v>
      </c>
      <c r="AL134" s="338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36"/>
      <c r="C135" s="129" t="s">
        <v>305</v>
      </c>
      <c r="D135" s="142" t="s">
        <v>306</v>
      </c>
      <c r="E135" s="131" t="s">
        <v>8</v>
      </c>
      <c r="F135" s="132" t="s">
        <v>8</v>
      </c>
      <c r="G135" s="132" t="s">
        <v>8</v>
      </c>
      <c r="H135" s="133" t="s">
        <v>8</v>
      </c>
      <c r="I135" s="143">
        <f>IF(I31&lt;0,IF(ROUND(I34+I36+I38+I40+I31,2)=0,"OK",ROUND(I34+I36+I38+I40+I31,2)),"N/D")</f>
        <v>0</v>
      </c>
      <c r="J135" s="144">
        <f>IF(J31&lt;0,IF(ROUND(J34+J36+J38+J40+J31,2)=0,"OK",ROUND(J34+J36+J38+J40+J31,2)),"N/D")</f>
        <v>0</v>
      </c>
      <c r="K135" s="144">
        <f>IF(K31&lt;0,IF(ROUND(K34+K36+K38+K40+K31,2)=0,"OK",ROUND(K34+K36+K38+K40+K31,2)),"N/D")</f>
        <v>0</v>
      </c>
      <c r="L135" s="144">
        <f>IF(L31&lt;0,IF(ROUND(L34+L36+L38+L40+L31,2)=0,"OK",ROUND(L34+L36+L38+L40+L31,2)),"N/D")</f>
        <v>0</v>
      </c>
      <c r="M135" s="144">
        <f>IF(M31&lt;0,IF(ROUND(M34+M36+M38+M40+M31,2)=0,"OK",ROUND(M34+M36+M38+M40+M31,2)),"N/D")</f>
        <v>0</v>
      </c>
      <c r="N135" s="144">
        <f>IF(N31&lt;0,IF(ROUND(N34+N36+N38+N40+N31,2)=0,"OK",ROUND(N34+N36+N38+N40+N31,2)),"N/D")</f>
        <v>0</v>
      </c>
      <c r="O135" s="144">
        <f>IF(O31&lt;0,IF(ROUND(O34+O36+O38+O40+O31,2)=0,"OK",ROUND(O34+O36+O38+O40+O31,2)),"N/D")</f>
        <v>0</v>
      </c>
      <c r="P135" s="144">
        <f>IF(P31&lt;0,IF(ROUND(P34+P36+P38+P40+P31,2)=0,"OK",ROUND(P34+P36+P38+P40+P31,2)),"N/D")</f>
        <v>0</v>
      </c>
      <c r="Q135" s="144">
        <f>IF(Q31&lt;0,IF(ROUND(Q34+Q36+Q38+Q40+Q31,2)=0,"OK",ROUND(Q34+Q36+Q38+Q40+Q31,2)),"N/D")</f>
        <v>0</v>
      </c>
      <c r="R135" s="144" t="e">
        <f>IF(R31&lt;0,IF(ROUND(R34+R36+R38+R40+R31,2)=0,"OK",ROUND(R34+R36+R38+R40+R31,2)),"N/D")</f>
        <v>#REF!</v>
      </c>
      <c r="S135" s="144" t="e">
        <f>IF(S31&lt;0,IF(ROUND(S34+S36+S38+S40+S31,2)=0,"OK",ROUND(S34+S36+S38+S40+S31,2)),"N/D")</f>
        <v>#REF!</v>
      </c>
      <c r="T135" s="144" t="e">
        <f>IF(T31&lt;0,IF(ROUND(T34+T36+T38+T40+T31,2)=0,"OK",ROUND(T34+T36+T38+T40+T31,2)),"N/D")</f>
        <v>#REF!</v>
      </c>
      <c r="U135" s="144" t="e">
        <f>IF(U31&lt;0,IF(ROUND(U34+U36+U38+U40+U31,2)=0,"OK",ROUND(U34+U36+U38+U40+U31,2)),"N/D")</f>
        <v>#REF!</v>
      </c>
      <c r="V135" s="144" t="e">
        <f>IF(V31&lt;0,IF(ROUND(V34+V36+V38+V40+V31,2)=0,"OK",ROUND(V34+V36+V38+V40+V31,2)),"N/D")</f>
        <v>#REF!</v>
      </c>
      <c r="W135" s="144" t="e">
        <f>IF(W31&lt;0,IF(ROUND(W34+W36+W38+W40+W31,2)=0,"OK",ROUND(W34+W36+W38+W40+W31,2)),"N/D")</f>
        <v>#REF!</v>
      </c>
      <c r="X135" s="144" t="e">
        <f>IF(X31&lt;0,IF(ROUND(X34+X36+X38+X40+X31,2)=0,"OK",ROUND(X34+X36+X38+X40+X31,2)),"N/D")</f>
        <v>#REF!</v>
      </c>
      <c r="Y135" s="144" t="e">
        <f>IF(Y31&lt;0,IF(ROUND(Y34+Y36+Y38+Y40+Y31,2)=0,"OK",ROUND(Y34+Y36+Y38+Y40+Y31,2)),"N/D")</f>
        <v>#REF!</v>
      </c>
      <c r="Z135" s="144" t="e">
        <f>IF(Z31&lt;0,IF(ROUND(Z34+Z36+Z38+Z40+Z31,2)=0,"OK",ROUND(Z34+Z36+Z38+Z40+Z31,2)),"N/D")</f>
        <v>#REF!</v>
      </c>
      <c r="AA135" s="144" t="e">
        <f>IF(AA31&lt;0,IF(ROUND(AA34+AA36+AA38+AA40+AA31,2)=0,"OK",ROUND(AA34+AA36+AA38+AA40+AA31,2)),"N/D")</f>
        <v>#REF!</v>
      </c>
      <c r="AB135" s="144" t="e">
        <f>IF(AB31&lt;0,IF(ROUND(AB34+AB36+AB38+AB40+AB31,2)=0,"OK",ROUND(AB34+AB36+AB38+AB40+AB31,2)),"N/D")</f>
        <v>#REF!</v>
      </c>
      <c r="AC135" s="144" t="e">
        <f>IF(AC31&lt;0,IF(ROUND(AC34+AC36+AC38+AC40+AC31,2)=0,"OK",ROUND(AC34+AC36+AC38+AC40+AC31,2)),"N/D")</f>
        <v>#REF!</v>
      </c>
      <c r="AD135" s="144" t="e">
        <f>IF(AD31&lt;0,IF(ROUND(AD34+AD36+AD38+AD40+AD31,2)=0,"OK",ROUND(AD34+AD36+AD38+AD40+AD31,2)),"N/D")</f>
        <v>#REF!</v>
      </c>
      <c r="AE135" s="144" t="e">
        <f>IF(AE31&lt;0,IF(ROUND(AE34+AE36+AE38+AE40+AE31,2)=0,"OK",ROUND(AE34+AE36+AE38+AE40+AE31,2)),"N/D")</f>
        <v>#REF!</v>
      </c>
      <c r="AF135" s="144" t="e">
        <f>IF(AF31&lt;0,IF(ROUND(AF34+AF36+AF38+AF40+AF31,2)=0,"OK",ROUND(AF34+AF36+AF38+AF40+AF31,2)),"N/D")</f>
        <v>#REF!</v>
      </c>
      <c r="AG135" s="144" t="e">
        <f>IF(AG31&lt;0,IF(ROUND(AG34+AG36+AG38+AG40+AG31,2)=0,"OK",ROUND(AG34+AG36+AG38+AG40+AG31,2)),"N/D")</f>
        <v>#REF!</v>
      </c>
      <c r="AH135" s="144" t="e">
        <f>IF(AH31&lt;0,IF(ROUND(AH34+AH36+AH38+AH40+AH31,2)=0,"OK",ROUND(AH34+AH36+AH38+AH40+AH31,2)),"N/D")</f>
        <v>#REF!</v>
      </c>
      <c r="AI135" s="144" t="e">
        <f>IF(AI31&lt;0,IF(ROUND(AI34+AI36+AI38+AI40+AI31,2)=0,"OK",ROUND(AI34+AI36+AI38+AI40+AI31,2)),"N/D")</f>
        <v>#REF!</v>
      </c>
      <c r="AJ135" s="144" t="e">
        <f>IF(AJ31&lt;0,IF(ROUND(AJ34+AJ36+AJ38+AJ40+AJ31,2)=0,"OK",ROUND(AJ34+AJ36+AJ38+AJ40+AJ31,2)),"N/D")</f>
        <v>#REF!</v>
      </c>
      <c r="AK135" s="144" t="e">
        <f>IF(AK31&lt;0,IF(ROUND(AK34+AK36+AK38+AK40+AK31,2)=0,"OK",ROUND(AK34+AK36+AK38+AK40+AK31,2)),"N/D")</f>
        <v>#REF!</v>
      </c>
      <c r="AL135" s="340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36"/>
      <c r="C136" s="129" t="s">
        <v>307</v>
      </c>
      <c r="D136" s="142" t="s">
        <v>308</v>
      </c>
      <c r="E136" s="131" t="s">
        <v>8</v>
      </c>
      <c r="F136" s="132" t="s">
        <v>8</v>
      </c>
      <c r="G136" s="132" t="s">
        <v>8</v>
      </c>
      <c r="H136" s="133" t="s">
        <v>8</v>
      </c>
      <c r="I136" s="143">
        <f>IF(I31&gt;=0,IF(ROUND(I34+I36+I38+I40,2)=0,"OK",ROUND(I34+I36+I38+I40,2)),"N/D")</f>
        <v>0</v>
      </c>
      <c r="J136" s="144">
        <f>IF(J31&gt;=0,IF(ROUND(J34+J36+J38+J40,2)=0,"OK",ROUND(J34+J36+J38+J40,2)),"N/D")</f>
        <v>0</v>
      </c>
      <c r="K136" s="144">
        <f>IF(K31&gt;=0,IF(ROUND(K34+K36+K38+K40,2)=0,"OK",ROUND(K34+K36+K38+K40,2)),"N/D")</f>
        <v>0</v>
      </c>
      <c r="L136" s="144">
        <f>IF(L31&gt;=0,IF(ROUND(L34+L36+L38+L40,2)=0,"OK",ROUND(L34+L36+L38+L40,2)),"N/D")</f>
        <v>0</v>
      </c>
      <c r="M136" s="144">
        <f>IF(M31&gt;=0,IF(ROUND(M34+M36+M38+M40,2)=0,"OK",ROUND(M34+M36+M38+M40,2)),"N/D")</f>
        <v>0</v>
      </c>
      <c r="N136" s="144">
        <f>IF(N31&gt;=0,IF(ROUND(N34+N36+N38+N40,2)=0,"OK",ROUND(N34+N36+N38+N40,2)),"N/D")</f>
        <v>0</v>
      </c>
      <c r="O136" s="144">
        <f>IF(O31&gt;=0,IF(ROUND(O34+O36+O38+O40,2)=0,"OK",ROUND(O34+O36+O38+O40,2)),"N/D")</f>
        <v>0</v>
      </c>
      <c r="P136" s="144">
        <f>IF(P31&gt;=0,IF(ROUND(P34+P36+P38+P40,2)=0,"OK",ROUND(P34+P36+P38+P40,2)),"N/D")</f>
        <v>0</v>
      </c>
      <c r="Q136" s="144">
        <f>IF(Q31&gt;=0,IF(ROUND(Q34+Q36+Q38+Q40,2)=0,"OK",ROUND(Q34+Q36+Q38+Q40,2)),"N/D")</f>
        <v>0</v>
      </c>
      <c r="R136" s="144" t="e">
        <f>IF(R31&gt;=0,IF(ROUND(R34+R36+R38+R40,2)=0,"OK",ROUND(R34+R36+R38+R40,2)),"N/D")</f>
        <v>#REF!</v>
      </c>
      <c r="S136" s="144" t="e">
        <f>IF(S31&gt;=0,IF(ROUND(S34+S36+S38+S40,2)=0,"OK",ROUND(S34+S36+S38+S40,2)),"N/D")</f>
        <v>#REF!</v>
      </c>
      <c r="T136" s="144" t="e">
        <f>IF(T31&gt;=0,IF(ROUND(T34+T36+T38+T40,2)=0,"OK",ROUND(T34+T36+T38+T40,2)),"N/D")</f>
        <v>#REF!</v>
      </c>
      <c r="U136" s="144" t="e">
        <f>IF(U31&gt;=0,IF(ROUND(U34+U36+U38+U40,2)=0,"OK",ROUND(U34+U36+U38+U40,2)),"N/D")</f>
        <v>#REF!</v>
      </c>
      <c r="V136" s="144" t="e">
        <f>IF(V31&gt;=0,IF(ROUND(V34+V36+V38+V40,2)=0,"OK",ROUND(V34+V36+V38+V40,2)),"N/D")</f>
        <v>#REF!</v>
      </c>
      <c r="W136" s="144" t="e">
        <f>IF(W31&gt;=0,IF(ROUND(W34+W36+W38+W40,2)=0,"OK",ROUND(W34+W36+W38+W40,2)),"N/D")</f>
        <v>#REF!</v>
      </c>
      <c r="X136" s="144" t="e">
        <f>IF(X31&gt;=0,IF(ROUND(X34+X36+X38+X40,2)=0,"OK",ROUND(X34+X36+X38+X40,2)),"N/D")</f>
        <v>#REF!</v>
      </c>
      <c r="Y136" s="144" t="e">
        <f>IF(Y31&gt;=0,IF(ROUND(Y34+Y36+Y38+Y40,2)=0,"OK",ROUND(Y34+Y36+Y38+Y40,2)),"N/D")</f>
        <v>#REF!</v>
      </c>
      <c r="Z136" s="144" t="e">
        <f>IF(Z31&gt;=0,IF(ROUND(Z34+Z36+Z38+Z40,2)=0,"OK",ROUND(Z34+Z36+Z38+Z40,2)),"N/D")</f>
        <v>#REF!</v>
      </c>
      <c r="AA136" s="144" t="e">
        <f>IF(AA31&gt;=0,IF(ROUND(AA34+AA36+AA38+AA40,2)=0,"OK",ROUND(AA34+AA36+AA38+AA40,2)),"N/D")</f>
        <v>#REF!</v>
      </c>
      <c r="AB136" s="144" t="e">
        <f>IF(AB31&gt;=0,IF(ROUND(AB34+AB36+AB38+AB40,2)=0,"OK",ROUND(AB34+AB36+AB38+AB40,2)),"N/D")</f>
        <v>#REF!</v>
      </c>
      <c r="AC136" s="144" t="e">
        <f>IF(AC31&gt;=0,IF(ROUND(AC34+AC36+AC38+AC40,2)=0,"OK",ROUND(AC34+AC36+AC38+AC40,2)),"N/D")</f>
        <v>#REF!</v>
      </c>
      <c r="AD136" s="144" t="e">
        <f>IF(AD31&gt;=0,IF(ROUND(AD34+AD36+AD38+AD40,2)=0,"OK",ROUND(AD34+AD36+AD38+AD40,2)),"N/D")</f>
        <v>#REF!</v>
      </c>
      <c r="AE136" s="144" t="e">
        <f>IF(AE31&gt;=0,IF(ROUND(AE34+AE36+AE38+AE40,2)=0,"OK",ROUND(AE34+AE36+AE38+AE40,2)),"N/D")</f>
        <v>#REF!</v>
      </c>
      <c r="AF136" s="144" t="e">
        <f>IF(AF31&gt;=0,IF(ROUND(AF34+AF36+AF38+AF40,2)=0,"OK",ROUND(AF34+AF36+AF38+AF40,2)),"N/D")</f>
        <v>#REF!</v>
      </c>
      <c r="AG136" s="144" t="e">
        <f>IF(AG31&gt;=0,IF(ROUND(AG34+AG36+AG38+AG40,2)=0,"OK",ROUND(AG34+AG36+AG38+AG40,2)),"N/D")</f>
        <v>#REF!</v>
      </c>
      <c r="AH136" s="144" t="e">
        <f>IF(AH31&gt;=0,IF(ROUND(AH34+AH36+AH38+AH40,2)=0,"OK",ROUND(AH34+AH36+AH38+AH40,2)),"N/D")</f>
        <v>#REF!</v>
      </c>
      <c r="AI136" s="144" t="e">
        <f>IF(AI31&gt;=0,IF(ROUND(AI34+AI36+AI38+AI40,2)=0,"OK",ROUND(AI34+AI36+AI38+AI40,2)),"N/D")</f>
        <v>#REF!</v>
      </c>
      <c r="AJ136" s="144" t="e">
        <f>IF(AJ31&gt;=0,IF(ROUND(AJ34+AJ36+AJ38+AJ40,2)=0,"OK",ROUND(AJ34+AJ36+AJ38+AJ40,2)),"N/D")</f>
        <v>#REF!</v>
      </c>
      <c r="AK136" s="144" t="e">
        <f>IF(AK31&gt;=0,IF(ROUND(AK34+AK36+AK38+AK40,2)=0,"OK",ROUND(AK34+AK36+AK38+AK40,2)),"N/D")</f>
        <v>#REF!</v>
      </c>
      <c r="AL136" s="340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36"/>
      <c r="C137" s="129" t="s">
        <v>309</v>
      </c>
      <c r="D137" s="142" t="s">
        <v>310</v>
      </c>
      <c r="E137" s="131" t="s">
        <v>8</v>
      </c>
      <c r="F137" s="132" t="s">
        <v>8</v>
      </c>
      <c r="G137" s="132" t="s">
        <v>8</v>
      </c>
      <c r="H137" s="133" t="s">
        <v>8</v>
      </c>
      <c r="I137" s="134">
        <f>IF(I14&gt;=I15,"OK","BŁĄD")</f>
        <v>0</v>
      </c>
      <c r="J137" s="135">
        <f>IF(J14&gt;=J15,"OK","BŁĄD")</f>
        <v>0</v>
      </c>
      <c r="K137" s="135">
        <f>IF(K14&gt;=K15,"OK","BŁĄD")</f>
        <v>0</v>
      </c>
      <c r="L137" s="135">
        <f>IF(L14&gt;=L15,"OK","BŁĄD")</f>
        <v>0</v>
      </c>
      <c r="M137" s="135">
        <f>IF(M14&gt;=M15,"OK","BŁĄD")</f>
        <v>0</v>
      </c>
      <c r="N137" s="135">
        <f>IF(N14&gt;=N15,"OK","BŁĄD")</f>
        <v>0</v>
      </c>
      <c r="O137" s="135">
        <f>IF(O14&gt;=O15,"OK","BŁĄD")</f>
        <v>0</v>
      </c>
      <c r="P137" s="135">
        <f>IF(P14&gt;=P15,"OK","BŁĄD")</f>
        <v>0</v>
      </c>
      <c r="Q137" s="135">
        <f>IF(Q14&gt;=Q15,"OK","BŁĄD")</f>
        <v>0</v>
      </c>
      <c r="R137" s="135" t="e">
        <f>IF(R14&gt;=R15,"OK","BŁĄD")</f>
        <v>#REF!</v>
      </c>
      <c r="S137" s="135" t="e">
        <f>IF(S14&gt;=S15,"OK","BŁĄD")</f>
        <v>#REF!</v>
      </c>
      <c r="T137" s="135" t="e">
        <f>IF(T14&gt;=T15,"OK","BŁĄD")</f>
        <v>#REF!</v>
      </c>
      <c r="U137" s="135" t="e">
        <f>IF(U14&gt;=U15,"OK","BŁĄD")</f>
        <v>#REF!</v>
      </c>
      <c r="V137" s="135" t="e">
        <f>IF(V14&gt;=V15,"OK","BŁĄD")</f>
        <v>#REF!</v>
      </c>
      <c r="W137" s="135" t="e">
        <f>IF(W14&gt;=W15,"OK","BŁĄD")</f>
        <v>#REF!</v>
      </c>
      <c r="X137" s="135" t="e">
        <f>IF(X14&gt;=X15,"OK","BŁĄD")</f>
        <v>#REF!</v>
      </c>
      <c r="Y137" s="135" t="e">
        <f>IF(Y14&gt;=Y15,"OK","BŁĄD")</f>
        <v>#REF!</v>
      </c>
      <c r="Z137" s="135" t="e">
        <f>IF(Z14&gt;=Z15,"OK","BŁĄD")</f>
        <v>#REF!</v>
      </c>
      <c r="AA137" s="135" t="e">
        <f>IF(AA14&gt;=AA15,"OK","BŁĄD")</f>
        <v>#REF!</v>
      </c>
      <c r="AB137" s="135" t="e">
        <f>IF(AB14&gt;=AB15,"OK","BŁĄD")</f>
        <v>#REF!</v>
      </c>
      <c r="AC137" s="135" t="e">
        <f>IF(AC14&gt;=AC15,"OK","BŁĄD")</f>
        <v>#REF!</v>
      </c>
      <c r="AD137" s="135" t="e">
        <f>IF(AD14&gt;=AD15,"OK","BŁĄD")</f>
        <v>#REF!</v>
      </c>
      <c r="AE137" s="135" t="e">
        <f>IF(AE14&gt;=AE15,"OK","BŁĄD")</f>
        <v>#REF!</v>
      </c>
      <c r="AF137" s="135" t="e">
        <f>IF(AF14&gt;=AF15,"OK","BŁĄD")</f>
        <v>#REF!</v>
      </c>
      <c r="AG137" s="135" t="e">
        <f>IF(AG14&gt;=AG15,"OK","BŁĄD")</f>
        <v>#REF!</v>
      </c>
      <c r="AH137" s="135" t="e">
        <f>IF(AH14&gt;=AH15,"OK","BŁĄD")</f>
        <v>#REF!</v>
      </c>
      <c r="AI137" s="135" t="e">
        <f>IF(AI14&gt;=AI15,"OK","BŁĄD")</f>
        <v>#REF!</v>
      </c>
      <c r="AJ137" s="135" t="e">
        <f>IF(AJ14&gt;=AJ15,"OK","BŁĄD")</f>
        <v>#REF!</v>
      </c>
      <c r="AK137" s="135" t="e">
        <f>IF(AK14&gt;=AK15,"OK","BŁĄD")</f>
        <v>#REF!</v>
      </c>
      <c r="AL137" s="337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36"/>
      <c r="C138" s="129" t="s">
        <v>311</v>
      </c>
      <c r="D138" s="142" t="s">
        <v>312</v>
      </c>
      <c r="E138" s="131" t="s">
        <v>8</v>
      </c>
      <c r="F138" s="132" t="s">
        <v>8</v>
      </c>
      <c r="G138" s="132" t="s">
        <v>8</v>
      </c>
      <c r="H138" s="133" t="s">
        <v>8</v>
      </c>
      <c r="I138" s="134">
        <f>IF(I17&gt;=I97,"OK","BŁĄD")</f>
        <v>0</v>
      </c>
      <c r="J138" s="135">
        <f>IF(J17&gt;=J97,"OK","BŁĄD")</f>
        <v>0</v>
      </c>
      <c r="K138" s="135">
        <f>IF(K17&gt;=K97,"OK","BŁĄD")</f>
        <v>0</v>
      </c>
      <c r="L138" s="135">
        <f>IF(L17&gt;=L97,"OK","BŁĄD")</f>
        <v>0</v>
      </c>
      <c r="M138" s="135">
        <f>IF(M17&gt;=M97,"OK","BŁĄD")</f>
        <v>0</v>
      </c>
      <c r="N138" s="135">
        <f>IF(N17&gt;=N97,"OK","BŁĄD")</f>
        <v>0</v>
      </c>
      <c r="O138" s="135">
        <f>IF(O17&gt;=O97,"OK","BŁĄD")</f>
        <v>0</v>
      </c>
      <c r="P138" s="135">
        <f>IF(P17&gt;=P97,"OK","BŁĄD")</f>
        <v>0</v>
      </c>
      <c r="Q138" s="135">
        <f>IF(Q17&gt;=Q97,"OK","BŁĄD")</f>
        <v>0</v>
      </c>
      <c r="R138" s="135" t="e">
        <f>IF(R17&gt;=R97,"OK","BŁĄD")</f>
        <v>#REF!</v>
      </c>
      <c r="S138" s="135" t="e">
        <f>IF(S17&gt;=S97,"OK","BŁĄD")</f>
        <v>#REF!</v>
      </c>
      <c r="T138" s="135" t="e">
        <f>IF(T17&gt;=T97,"OK","BŁĄD")</f>
        <v>#REF!</v>
      </c>
      <c r="U138" s="135" t="e">
        <f>IF(U17&gt;=U97,"OK","BŁĄD")</f>
        <v>#REF!</v>
      </c>
      <c r="V138" s="135" t="e">
        <f>IF(V17&gt;=V97,"OK","BŁĄD")</f>
        <v>#REF!</v>
      </c>
      <c r="W138" s="135" t="e">
        <f>IF(W17&gt;=W97,"OK","BŁĄD")</f>
        <v>#REF!</v>
      </c>
      <c r="X138" s="135" t="e">
        <f>IF(X17&gt;=X97,"OK","BŁĄD")</f>
        <v>#REF!</v>
      </c>
      <c r="Y138" s="135" t="e">
        <f>IF(Y17&gt;=Y97,"OK","BŁĄD")</f>
        <v>#REF!</v>
      </c>
      <c r="Z138" s="135" t="e">
        <f>IF(Z17&gt;=Z97,"OK","BŁĄD")</f>
        <v>#REF!</v>
      </c>
      <c r="AA138" s="135" t="e">
        <f>IF(AA17&gt;=AA97,"OK","BŁĄD")</f>
        <v>#REF!</v>
      </c>
      <c r="AB138" s="135" t="e">
        <f>IF(AB17&gt;=AB97,"OK","BŁĄD")</f>
        <v>#REF!</v>
      </c>
      <c r="AC138" s="135" t="e">
        <f>IF(AC17&gt;=AC97,"OK","BŁĄD")</f>
        <v>#REF!</v>
      </c>
      <c r="AD138" s="135" t="e">
        <f>IF(AD17&gt;=AD97,"OK","BŁĄD")</f>
        <v>#REF!</v>
      </c>
      <c r="AE138" s="135" t="e">
        <f>IF(AE17&gt;=AE97,"OK","BŁĄD")</f>
        <v>#REF!</v>
      </c>
      <c r="AF138" s="135" t="e">
        <f>IF(AF17&gt;=AF97,"OK","BŁĄD")</f>
        <v>#REF!</v>
      </c>
      <c r="AG138" s="135" t="e">
        <f>IF(AG17&gt;=AG97,"OK","BŁĄD")</f>
        <v>#REF!</v>
      </c>
      <c r="AH138" s="135" t="e">
        <f>IF(AH17&gt;=AH97,"OK","BŁĄD")</f>
        <v>#REF!</v>
      </c>
      <c r="AI138" s="135" t="e">
        <f>IF(AI17&gt;=AI97,"OK","BŁĄD")</f>
        <v>#REF!</v>
      </c>
      <c r="AJ138" s="135" t="e">
        <f>IF(AJ17&gt;=AJ97,"OK","BŁĄD")</f>
        <v>#REF!</v>
      </c>
      <c r="AK138" s="135" t="e">
        <f>IF(AK17&gt;=AK97,"OK","BŁĄD")</f>
        <v>#REF!</v>
      </c>
      <c r="AL138" s="337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36"/>
      <c r="C139" s="129" t="s">
        <v>313</v>
      </c>
      <c r="D139" s="142" t="s">
        <v>314</v>
      </c>
      <c r="E139" s="131" t="s">
        <v>8</v>
      </c>
      <c r="F139" s="132" t="s">
        <v>8</v>
      </c>
      <c r="G139" s="132" t="s">
        <v>8</v>
      </c>
      <c r="H139" s="133" t="s">
        <v>8</v>
      </c>
      <c r="I139" s="134">
        <f>IF(I11&gt;=I12+I13+I14+I16+I17,"OK","BŁĄD")</f>
        <v>0</v>
      </c>
      <c r="J139" s="135">
        <f>IF(J11&gt;=J12+J13+J14+J16+J17,"OK","BŁĄD")</f>
        <v>0</v>
      </c>
      <c r="K139" s="135">
        <f>IF(K11&gt;=K12+K13+K14+K16+K17,"OK","BŁĄD")</f>
        <v>0</v>
      </c>
      <c r="L139" s="135">
        <f>IF(L11&gt;=L12+L13+L14+L16+L17,"OK","BŁĄD")</f>
        <v>0</v>
      </c>
      <c r="M139" s="135">
        <f>IF(M11&gt;=M12+M13+M14+M16+M17,"OK","BŁĄD")</f>
        <v>0</v>
      </c>
      <c r="N139" s="135">
        <f>IF(N11&gt;=N12+N13+N14+N16+N17,"OK","BŁĄD")</f>
        <v>0</v>
      </c>
      <c r="O139" s="135">
        <f>IF(O11&gt;=O12+O13+O14+O16+O17,"OK","BŁĄD")</f>
        <v>0</v>
      </c>
      <c r="P139" s="135">
        <f>IF(P11&gt;=P12+P13+P14+P16+P17,"OK","BŁĄD")</f>
        <v>0</v>
      </c>
      <c r="Q139" s="135">
        <f>IF(Q11&gt;=Q12+Q13+Q14+Q16+Q17,"OK","BŁĄD")</f>
        <v>0</v>
      </c>
      <c r="R139" s="135" t="e">
        <f>IF(R11&gt;=R12+R13+R14+R16+R17,"OK","BŁĄD")</f>
        <v>#REF!</v>
      </c>
      <c r="S139" s="135" t="e">
        <f>IF(S11&gt;=S12+S13+S14+S16+S17,"OK","BŁĄD")</f>
        <v>#REF!</v>
      </c>
      <c r="T139" s="135" t="e">
        <f>IF(T11&gt;=T12+T13+T14+T16+T17,"OK","BŁĄD")</f>
        <v>#REF!</v>
      </c>
      <c r="U139" s="135" t="e">
        <f>IF(U11&gt;=U12+U13+U14+U16+U17,"OK","BŁĄD")</f>
        <v>#REF!</v>
      </c>
      <c r="V139" s="135" t="e">
        <f>IF(V11&gt;=V12+V13+V14+V16+V17,"OK","BŁĄD")</f>
        <v>#REF!</v>
      </c>
      <c r="W139" s="135" t="e">
        <f>IF(W11&gt;=W12+W13+W14+W16+W17,"OK","BŁĄD")</f>
        <v>#REF!</v>
      </c>
      <c r="X139" s="135" t="e">
        <f>IF(X11&gt;=X12+X13+X14+X16+X17,"OK","BŁĄD")</f>
        <v>#REF!</v>
      </c>
      <c r="Y139" s="135" t="e">
        <f>IF(Y11&gt;=Y12+Y13+Y14+Y16+Y17,"OK","BŁĄD")</f>
        <v>#REF!</v>
      </c>
      <c r="Z139" s="135" t="e">
        <f>IF(Z11&gt;=Z12+Z13+Z14+Z16+Z17,"OK","BŁĄD")</f>
        <v>#REF!</v>
      </c>
      <c r="AA139" s="135" t="e">
        <f>IF(AA11&gt;=AA12+AA13+AA14+AA16+AA17,"OK","BŁĄD")</f>
        <v>#REF!</v>
      </c>
      <c r="AB139" s="135" t="e">
        <f>IF(AB11&gt;=AB12+AB13+AB14+AB16+AB17,"OK","BŁĄD")</f>
        <v>#REF!</v>
      </c>
      <c r="AC139" s="135" t="e">
        <f>IF(AC11&gt;=AC12+AC13+AC14+AC16+AC17,"OK","BŁĄD")</f>
        <v>#REF!</v>
      </c>
      <c r="AD139" s="135" t="e">
        <f>IF(AD11&gt;=AD12+AD13+AD14+AD16+AD17,"OK","BŁĄD")</f>
        <v>#REF!</v>
      </c>
      <c r="AE139" s="135" t="e">
        <f>IF(AE11&gt;=AE12+AE13+AE14+AE16+AE17,"OK","BŁĄD")</f>
        <v>#REF!</v>
      </c>
      <c r="AF139" s="135" t="e">
        <f>IF(AF11&gt;=AF12+AF13+AF14+AF16+AF17,"OK","BŁĄD")</f>
        <v>#REF!</v>
      </c>
      <c r="AG139" s="135" t="e">
        <f>IF(AG11&gt;=AG12+AG13+AG14+AG16+AG17,"OK","BŁĄD")</f>
        <v>#REF!</v>
      </c>
      <c r="AH139" s="135" t="e">
        <f>IF(AH11&gt;=AH12+AH13+AH14+AH16+AH17,"OK","BŁĄD")</f>
        <v>#REF!</v>
      </c>
      <c r="AI139" s="135" t="e">
        <f>IF(AI11&gt;=AI12+AI13+AI14+AI16+AI17,"OK","BŁĄD")</f>
        <v>#REF!</v>
      </c>
      <c r="AJ139" s="135" t="e">
        <f>IF(AJ11&gt;=AJ12+AJ13+AJ14+AJ16+AJ17,"OK","BŁĄD")</f>
        <v>#REF!</v>
      </c>
      <c r="AK139" s="135" t="e">
        <f>IF(AK11&gt;=AK12+AK13+AK14+AK16+AK17,"OK","BŁĄD")</f>
        <v>#REF!</v>
      </c>
      <c r="AL139" s="337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36"/>
      <c r="C140" s="129" t="s">
        <v>315</v>
      </c>
      <c r="D140" s="142" t="s">
        <v>316</v>
      </c>
      <c r="E140" s="131" t="s">
        <v>8</v>
      </c>
      <c r="F140" s="132" t="s">
        <v>8</v>
      </c>
      <c r="G140" s="132" t="s">
        <v>8</v>
      </c>
      <c r="H140" s="133" t="s">
        <v>8</v>
      </c>
      <c r="I140" s="134">
        <f>IF(I11&gt;=I75,"OK","BŁĄD")</f>
        <v>0</v>
      </c>
      <c r="J140" s="135">
        <f>IF(J11&gt;=J75,"OK","BŁĄD")</f>
        <v>0</v>
      </c>
      <c r="K140" s="135">
        <f>IF(K11&gt;=K75,"OK","BŁĄD")</f>
        <v>0</v>
      </c>
      <c r="L140" s="135">
        <f>IF(L11&gt;=L75,"OK","BŁĄD")</f>
        <v>0</v>
      </c>
      <c r="M140" s="135">
        <f>IF(M11&gt;=M75,"OK","BŁĄD")</f>
        <v>0</v>
      </c>
      <c r="N140" s="135">
        <f>IF(N11&gt;=N75,"OK","BŁĄD")</f>
        <v>0</v>
      </c>
      <c r="O140" s="135">
        <f>IF(O11&gt;=O75,"OK","BŁĄD")</f>
        <v>0</v>
      </c>
      <c r="P140" s="135">
        <f>IF(P11&gt;=P75,"OK","BŁĄD")</f>
        <v>0</v>
      </c>
      <c r="Q140" s="135">
        <f>IF(Q11&gt;=Q75,"OK","BŁĄD")</f>
        <v>0</v>
      </c>
      <c r="R140" s="135" t="e">
        <f>IF(R11&gt;=R75,"OK","BŁĄD")</f>
        <v>#REF!</v>
      </c>
      <c r="S140" s="135" t="e">
        <f>IF(S11&gt;=S75,"OK","BŁĄD")</f>
        <v>#REF!</v>
      </c>
      <c r="T140" s="135" t="e">
        <f>IF(T11&gt;=T75,"OK","BŁĄD")</f>
        <v>#REF!</v>
      </c>
      <c r="U140" s="135" t="e">
        <f>IF(U11&gt;=U75,"OK","BŁĄD")</f>
        <v>#REF!</v>
      </c>
      <c r="V140" s="135" t="e">
        <f>IF(V11&gt;=V75,"OK","BŁĄD")</f>
        <v>#REF!</v>
      </c>
      <c r="W140" s="135" t="e">
        <f>IF(W11&gt;=W75,"OK","BŁĄD")</f>
        <v>#REF!</v>
      </c>
      <c r="X140" s="135" t="e">
        <f>IF(X11&gt;=X75,"OK","BŁĄD")</f>
        <v>#REF!</v>
      </c>
      <c r="Y140" s="135" t="e">
        <f>IF(Y11&gt;=Y75,"OK","BŁĄD")</f>
        <v>#REF!</v>
      </c>
      <c r="Z140" s="135" t="e">
        <f>IF(Z11&gt;=Z75,"OK","BŁĄD")</f>
        <v>#REF!</v>
      </c>
      <c r="AA140" s="135" t="e">
        <f>IF(AA11&gt;=AA75,"OK","BŁĄD")</f>
        <v>#REF!</v>
      </c>
      <c r="AB140" s="135" t="e">
        <f>IF(AB11&gt;=AB75,"OK","BŁĄD")</f>
        <v>#REF!</v>
      </c>
      <c r="AC140" s="135" t="e">
        <f>IF(AC11&gt;=AC75,"OK","BŁĄD")</f>
        <v>#REF!</v>
      </c>
      <c r="AD140" s="135" t="e">
        <f>IF(AD11&gt;=AD75,"OK","BŁĄD")</f>
        <v>#REF!</v>
      </c>
      <c r="AE140" s="135" t="e">
        <f>IF(AE11&gt;=AE75,"OK","BŁĄD")</f>
        <v>#REF!</v>
      </c>
      <c r="AF140" s="135" t="e">
        <f>IF(AF11&gt;=AF75,"OK","BŁĄD")</f>
        <v>#REF!</v>
      </c>
      <c r="AG140" s="135" t="e">
        <f>IF(AG11&gt;=AG75,"OK","BŁĄD")</f>
        <v>#REF!</v>
      </c>
      <c r="AH140" s="135" t="e">
        <f>IF(AH11&gt;=AH75,"OK","BŁĄD")</f>
        <v>#REF!</v>
      </c>
      <c r="AI140" s="135" t="e">
        <f>IF(AI11&gt;=AI75,"OK","BŁĄD")</f>
        <v>#REF!</v>
      </c>
      <c r="AJ140" s="135" t="e">
        <f>IF(AJ11&gt;=AJ75,"OK","BŁĄD")</f>
        <v>#REF!</v>
      </c>
      <c r="AK140" s="135" t="e">
        <f>IF(AK11&gt;=AK75,"OK","BŁĄD")</f>
        <v>#REF!</v>
      </c>
      <c r="AL140" s="337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36"/>
      <c r="C141" s="129" t="s">
        <v>317</v>
      </c>
      <c r="D141" s="142" t="s">
        <v>318</v>
      </c>
      <c r="E141" s="131" t="s">
        <v>8</v>
      </c>
      <c r="F141" s="132" t="s">
        <v>8</v>
      </c>
      <c r="G141" s="132" t="s">
        <v>8</v>
      </c>
      <c r="H141" s="133" t="s">
        <v>8</v>
      </c>
      <c r="I141" s="134">
        <f>IF(I18&gt;=I19,"OK","BŁĄD")</f>
        <v>0</v>
      </c>
      <c r="J141" s="135">
        <f>IF(J18&gt;=J19,"OK","BŁĄD")</f>
        <v>0</v>
      </c>
      <c r="K141" s="135">
        <f>IF(K18&gt;=K19,"OK","BŁĄD")</f>
        <v>0</v>
      </c>
      <c r="L141" s="135">
        <f>IF(L18&gt;=L19,"OK","BŁĄD")</f>
        <v>0</v>
      </c>
      <c r="M141" s="135">
        <f>IF(M18&gt;=M19,"OK","BŁĄD")</f>
        <v>0</v>
      </c>
      <c r="N141" s="135">
        <f>IF(N18&gt;=N19,"OK","BŁĄD")</f>
        <v>0</v>
      </c>
      <c r="O141" s="135">
        <f>IF(O18&gt;=O19,"OK","BŁĄD")</f>
        <v>0</v>
      </c>
      <c r="P141" s="135">
        <f>IF(P18&gt;=P19,"OK","BŁĄD")</f>
        <v>0</v>
      </c>
      <c r="Q141" s="135">
        <f>IF(Q18&gt;=Q19,"OK","BŁĄD")</f>
        <v>0</v>
      </c>
      <c r="R141" s="135" t="e">
        <f>IF(R18&gt;=R19,"OK","BŁĄD")</f>
        <v>#REF!</v>
      </c>
      <c r="S141" s="135" t="e">
        <f>IF(S18&gt;=S19,"OK","BŁĄD")</f>
        <v>#REF!</v>
      </c>
      <c r="T141" s="135" t="e">
        <f>IF(T18&gt;=T19,"OK","BŁĄD")</f>
        <v>#REF!</v>
      </c>
      <c r="U141" s="135" t="e">
        <f>IF(U18&gt;=U19,"OK","BŁĄD")</f>
        <v>#REF!</v>
      </c>
      <c r="V141" s="135" t="e">
        <f>IF(V18&gt;=V19,"OK","BŁĄD")</f>
        <v>#REF!</v>
      </c>
      <c r="W141" s="135" t="e">
        <f>IF(W18&gt;=W19,"OK","BŁĄD")</f>
        <v>#REF!</v>
      </c>
      <c r="X141" s="135" t="e">
        <f>IF(X18&gt;=X19,"OK","BŁĄD")</f>
        <v>#REF!</v>
      </c>
      <c r="Y141" s="135" t="e">
        <f>IF(Y18&gt;=Y19,"OK","BŁĄD")</f>
        <v>#REF!</v>
      </c>
      <c r="Z141" s="135" t="e">
        <f>IF(Z18&gt;=Z19,"OK","BŁĄD")</f>
        <v>#REF!</v>
      </c>
      <c r="AA141" s="135" t="e">
        <f>IF(AA18&gt;=AA19,"OK","BŁĄD")</f>
        <v>#REF!</v>
      </c>
      <c r="AB141" s="135" t="e">
        <f>IF(AB18&gt;=AB19,"OK","BŁĄD")</f>
        <v>#REF!</v>
      </c>
      <c r="AC141" s="135" t="e">
        <f>IF(AC18&gt;=AC19,"OK","BŁĄD")</f>
        <v>#REF!</v>
      </c>
      <c r="AD141" s="135" t="e">
        <f>IF(AD18&gt;=AD19,"OK","BŁĄD")</f>
        <v>#REF!</v>
      </c>
      <c r="AE141" s="135" t="e">
        <f>IF(AE18&gt;=AE19,"OK","BŁĄD")</f>
        <v>#REF!</v>
      </c>
      <c r="AF141" s="135" t="e">
        <f>IF(AF18&gt;=AF19,"OK","BŁĄD")</f>
        <v>#REF!</v>
      </c>
      <c r="AG141" s="135" t="e">
        <f>IF(AG18&gt;=AG19,"OK","BŁĄD")</f>
        <v>#REF!</v>
      </c>
      <c r="AH141" s="135" t="e">
        <f>IF(AH18&gt;=AH19,"OK","BŁĄD")</f>
        <v>#REF!</v>
      </c>
      <c r="AI141" s="135" t="e">
        <f>IF(AI18&gt;=AI19,"OK","BŁĄD")</f>
        <v>#REF!</v>
      </c>
      <c r="AJ141" s="135" t="e">
        <f>IF(AJ18&gt;=AJ19,"OK","BŁĄD")</f>
        <v>#REF!</v>
      </c>
      <c r="AK141" s="135" t="e">
        <f>IF(AK18&gt;=AK19,"OK","BŁĄD")</f>
        <v>#REF!</v>
      </c>
      <c r="AL141" s="337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36"/>
      <c r="C142" s="129" t="s">
        <v>319</v>
      </c>
      <c r="D142" s="142" t="s">
        <v>320</v>
      </c>
      <c r="E142" s="131" t="s">
        <v>8</v>
      </c>
      <c r="F142" s="132" t="s">
        <v>8</v>
      </c>
      <c r="G142" s="132" t="s">
        <v>8</v>
      </c>
      <c r="H142" s="133" t="s">
        <v>8</v>
      </c>
      <c r="I142" s="134">
        <f>IF(I18&gt;=I20,"OK","BŁĄD")</f>
        <v>0</v>
      </c>
      <c r="J142" s="135">
        <f>IF(J18&gt;=J20,"OK","BŁĄD")</f>
        <v>0</v>
      </c>
      <c r="K142" s="135">
        <f>IF(K18&gt;=K20,"OK","BŁĄD")</f>
        <v>0</v>
      </c>
      <c r="L142" s="135">
        <f>IF(L18&gt;=L20,"OK","BŁĄD")</f>
        <v>0</v>
      </c>
      <c r="M142" s="135">
        <f>IF(M18&gt;=M20,"OK","BŁĄD")</f>
        <v>0</v>
      </c>
      <c r="N142" s="135">
        <f>IF(N18&gt;=N20,"OK","BŁĄD")</f>
        <v>0</v>
      </c>
      <c r="O142" s="135">
        <f>IF(O18&gt;=O20,"OK","BŁĄD")</f>
        <v>0</v>
      </c>
      <c r="P142" s="135">
        <f>IF(P18&gt;=P20,"OK","BŁĄD")</f>
        <v>0</v>
      </c>
      <c r="Q142" s="135">
        <f>IF(Q18&gt;=Q20,"OK","BŁĄD")</f>
        <v>0</v>
      </c>
      <c r="R142" s="135" t="e">
        <f>IF(R18&gt;=R20,"OK","BŁĄD")</f>
        <v>#REF!</v>
      </c>
      <c r="S142" s="135" t="e">
        <f>IF(S18&gt;=S20,"OK","BŁĄD")</f>
        <v>#REF!</v>
      </c>
      <c r="T142" s="135" t="e">
        <f>IF(T18&gt;=T20,"OK","BŁĄD")</f>
        <v>#REF!</v>
      </c>
      <c r="U142" s="135" t="e">
        <f>IF(U18&gt;=U20,"OK","BŁĄD")</f>
        <v>#REF!</v>
      </c>
      <c r="V142" s="135" t="e">
        <f>IF(V18&gt;=V20,"OK","BŁĄD")</f>
        <v>#REF!</v>
      </c>
      <c r="W142" s="135" t="e">
        <f>IF(W18&gt;=W20,"OK","BŁĄD")</f>
        <v>#REF!</v>
      </c>
      <c r="X142" s="135" t="e">
        <f>IF(X18&gt;=X20,"OK","BŁĄD")</f>
        <v>#REF!</v>
      </c>
      <c r="Y142" s="135" t="e">
        <f>IF(Y18&gt;=Y20,"OK","BŁĄD")</f>
        <v>#REF!</v>
      </c>
      <c r="Z142" s="135" t="e">
        <f>IF(Z18&gt;=Z20,"OK","BŁĄD")</f>
        <v>#REF!</v>
      </c>
      <c r="AA142" s="135" t="e">
        <f>IF(AA18&gt;=AA20,"OK","BŁĄD")</f>
        <v>#REF!</v>
      </c>
      <c r="AB142" s="135" t="e">
        <f>IF(AB18&gt;=AB20,"OK","BŁĄD")</f>
        <v>#REF!</v>
      </c>
      <c r="AC142" s="135" t="e">
        <f>IF(AC18&gt;=AC20,"OK","BŁĄD")</f>
        <v>#REF!</v>
      </c>
      <c r="AD142" s="135" t="e">
        <f>IF(AD18&gt;=AD20,"OK","BŁĄD")</f>
        <v>#REF!</v>
      </c>
      <c r="AE142" s="135" t="e">
        <f>IF(AE18&gt;=AE20,"OK","BŁĄD")</f>
        <v>#REF!</v>
      </c>
      <c r="AF142" s="135" t="e">
        <f>IF(AF18&gt;=AF20,"OK","BŁĄD")</f>
        <v>#REF!</v>
      </c>
      <c r="AG142" s="135" t="e">
        <f>IF(AG18&gt;=AG20,"OK","BŁĄD")</f>
        <v>#REF!</v>
      </c>
      <c r="AH142" s="135" t="e">
        <f>IF(AH18&gt;=AH20,"OK","BŁĄD")</f>
        <v>#REF!</v>
      </c>
      <c r="AI142" s="135" t="e">
        <f>IF(AI18&gt;=AI20,"OK","BŁĄD")</f>
        <v>#REF!</v>
      </c>
      <c r="AJ142" s="135" t="e">
        <f>IF(AJ18&gt;=AJ20,"OK","BŁĄD")</f>
        <v>#REF!</v>
      </c>
      <c r="AK142" s="135" t="e">
        <f>IF(AK18&gt;=AK20,"OK","BŁĄD")</f>
        <v>#REF!</v>
      </c>
      <c r="AL142" s="337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36"/>
      <c r="C143" s="129" t="s">
        <v>321</v>
      </c>
      <c r="D143" s="142" t="s">
        <v>322</v>
      </c>
      <c r="E143" s="131" t="s">
        <v>8</v>
      </c>
      <c r="F143" s="132" t="s">
        <v>8</v>
      </c>
      <c r="G143" s="132" t="s">
        <v>8</v>
      </c>
      <c r="H143" s="133" t="s">
        <v>8</v>
      </c>
      <c r="I143" s="134">
        <f>IF(I18&gt;=I78,"OK","BŁĄD")</f>
        <v>0</v>
      </c>
      <c r="J143" s="135">
        <f>IF(J18&gt;=J78,"OK","BŁĄD")</f>
        <v>0</v>
      </c>
      <c r="K143" s="135">
        <f>IF(K18&gt;=K78,"OK","BŁĄD")</f>
        <v>0</v>
      </c>
      <c r="L143" s="135">
        <f>IF(L18&gt;=L78,"OK","BŁĄD")</f>
        <v>0</v>
      </c>
      <c r="M143" s="135">
        <f>IF(M18&gt;=M78,"OK","BŁĄD")</f>
        <v>0</v>
      </c>
      <c r="N143" s="135">
        <f>IF(N18&gt;=N78,"OK","BŁĄD")</f>
        <v>0</v>
      </c>
      <c r="O143" s="135">
        <f>IF(O18&gt;=O78,"OK","BŁĄD")</f>
        <v>0</v>
      </c>
      <c r="P143" s="135">
        <f>IF(P18&gt;=P78,"OK","BŁĄD")</f>
        <v>0</v>
      </c>
      <c r="Q143" s="135">
        <f>IF(Q18&gt;=Q78,"OK","BŁĄD")</f>
        <v>0</v>
      </c>
      <c r="R143" s="135" t="e">
        <f>IF(R18&gt;=R78,"OK","BŁĄD")</f>
        <v>#REF!</v>
      </c>
      <c r="S143" s="135" t="e">
        <f>IF(S18&gt;=S78,"OK","BŁĄD")</f>
        <v>#REF!</v>
      </c>
      <c r="T143" s="135" t="e">
        <f>IF(T18&gt;=T78,"OK","BŁĄD")</f>
        <v>#REF!</v>
      </c>
      <c r="U143" s="135" t="e">
        <f>IF(U18&gt;=U78,"OK","BŁĄD")</f>
        <v>#REF!</v>
      </c>
      <c r="V143" s="135" t="e">
        <f>IF(V18&gt;=V78,"OK","BŁĄD")</f>
        <v>#REF!</v>
      </c>
      <c r="W143" s="135" t="e">
        <f>IF(W18&gt;=W78,"OK","BŁĄD")</f>
        <v>#REF!</v>
      </c>
      <c r="X143" s="135" t="e">
        <f>IF(X18&gt;=X78,"OK","BŁĄD")</f>
        <v>#REF!</v>
      </c>
      <c r="Y143" s="135" t="e">
        <f>IF(Y18&gt;=Y78,"OK","BŁĄD")</f>
        <v>#REF!</v>
      </c>
      <c r="Z143" s="135" t="e">
        <f>IF(Z18&gt;=Z78,"OK","BŁĄD")</f>
        <v>#REF!</v>
      </c>
      <c r="AA143" s="135" t="e">
        <f>IF(AA18&gt;=AA78,"OK","BŁĄD")</f>
        <v>#REF!</v>
      </c>
      <c r="AB143" s="135" t="e">
        <f>IF(AB18&gt;=AB78,"OK","BŁĄD")</f>
        <v>#REF!</v>
      </c>
      <c r="AC143" s="135" t="e">
        <f>IF(AC18&gt;=AC78,"OK","BŁĄD")</f>
        <v>#REF!</v>
      </c>
      <c r="AD143" s="135" t="e">
        <f>IF(AD18&gt;=AD78,"OK","BŁĄD")</f>
        <v>#REF!</v>
      </c>
      <c r="AE143" s="135" t="e">
        <f>IF(AE18&gt;=AE78,"OK","BŁĄD")</f>
        <v>#REF!</v>
      </c>
      <c r="AF143" s="135" t="e">
        <f>IF(AF18&gt;=AF78,"OK","BŁĄD")</f>
        <v>#REF!</v>
      </c>
      <c r="AG143" s="135" t="e">
        <f>IF(AG18&gt;=AG78,"OK","BŁĄD")</f>
        <v>#REF!</v>
      </c>
      <c r="AH143" s="135" t="e">
        <f>IF(AH18&gt;=AH78,"OK","BŁĄD")</f>
        <v>#REF!</v>
      </c>
      <c r="AI143" s="135" t="e">
        <f>IF(AI18&gt;=AI78,"OK","BŁĄD")</f>
        <v>#REF!</v>
      </c>
      <c r="AJ143" s="135" t="e">
        <f>IF(AJ18&gt;=AJ78,"OK","BŁĄD")</f>
        <v>#REF!</v>
      </c>
      <c r="AK143" s="135" t="e">
        <f>IF(AK18&gt;=AK78,"OK","BŁĄD")</f>
        <v>#REF!</v>
      </c>
      <c r="AL143" s="337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36"/>
      <c r="C144" s="129"/>
      <c r="D144" s="142" t="s">
        <v>323</v>
      </c>
      <c r="E144" s="131" t="s">
        <v>8</v>
      </c>
      <c r="F144" s="132" t="s">
        <v>8</v>
      </c>
      <c r="G144" s="132" t="s">
        <v>8</v>
      </c>
      <c r="H144" s="133" t="s">
        <v>8</v>
      </c>
      <c r="I144" s="134">
        <f>+IF(I31&gt;0,IF(I31=I63,"OK","Błąd"),"N/D")</f>
        <v>0</v>
      </c>
      <c r="J144" s="134">
        <f>+IF(J31&gt;0,IF(J31=J63,"OK","Błąd"),"N/D")</f>
        <v>0</v>
      </c>
      <c r="K144" s="134">
        <f>+IF(K31&gt;0,IF(K31=K63,"OK","Błąd"),"N/D")</f>
        <v>0</v>
      </c>
      <c r="L144" s="134">
        <f>+IF(L31&gt;0,IF(L31=L63,"OK","Błąd"),"N/D")</f>
        <v>0</v>
      </c>
      <c r="M144" s="134">
        <f>+IF(M31&gt;0,IF(M31=M63,"OK","Błąd"),"N/D")</f>
        <v>0</v>
      </c>
      <c r="N144" s="134">
        <f>+IF(N31&gt;0,IF(N31=N63,"OK","Błąd"),"N/D")</f>
        <v>0</v>
      </c>
      <c r="O144" s="134">
        <f>+IF(O31&gt;0,IF(O31=O63,"OK","Błąd"),"N/D")</f>
        <v>0</v>
      </c>
      <c r="P144" s="134">
        <f>+IF(P31&gt;0,IF(P31=P63,"OK","Błąd"),"N/D")</f>
        <v>0</v>
      </c>
      <c r="Q144" s="134">
        <f>+IF(Q31&gt;0,IF(Q31=Q63,"OK","Błąd"),"N/D")</f>
        <v>0</v>
      </c>
      <c r="R144" s="134" t="e">
        <f>+IF(R31&gt;0,IF(R31=R63,"OK","Błąd"),"N/D")</f>
        <v>#REF!</v>
      </c>
      <c r="S144" s="134" t="e">
        <f>+IF(S31&gt;0,IF(S31=S63,"OK","Błąd"),"N/D")</f>
        <v>#REF!</v>
      </c>
      <c r="T144" s="134" t="e">
        <f>+IF(T31&gt;0,IF(T31=T63,"OK","Błąd"),"N/D")</f>
        <v>#REF!</v>
      </c>
      <c r="U144" s="134" t="e">
        <f>+IF(U31&gt;0,IF(U31=U63,"OK","Błąd"),"N/D")</f>
        <v>#REF!</v>
      </c>
      <c r="V144" s="134" t="e">
        <f>+IF(V31&gt;0,IF(V31=V63,"OK","Błąd"),"N/D")</f>
        <v>#REF!</v>
      </c>
      <c r="W144" s="134" t="e">
        <f>+IF(W31&gt;0,IF(W31=W63,"OK","Błąd"),"N/D")</f>
        <v>#REF!</v>
      </c>
      <c r="X144" s="134" t="e">
        <f>+IF(X31&gt;0,IF(X31=X63,"OK","Błąd"),"N/D")</f>
        <v>#REF!</v>
      </c>
      <c r="Y144" s="134" t="e">
        <f>+IF(Y31&gt;0,IF(Y31=Y63,"OK","Błąd"),"N/D")</f>
        <v>#REF!</v>
      </c>
      <c r="Z144" s="134" t="e">
        <f>+IF(Z31&gt;0,IF(Z31=Z63,"OK","Błąd"),"N/D")</f>
        <v>#REF!</v>
      </c>
      <c r="AA144" s="134" t="e">
        <f>+IF(AA31&gt;0,IF(AA31=AA63,"OK","Błąd"),"N/D")</f>
        <v>#REF!</v>
      </c>
      <c r="AB144" s="134" t="e">
        <f>+IF(AB31&gt;0,IF(AB31=AB63,"OK","Błąd"),"N/D")</f>
        <v>#REF!</v>
      </c>
      <c r="AC144" s="134" t="e">
        <f>+IF(AC31&gt;0,IF(AC31=AC63,"OK","Błąd"),"N/D")</f>
        <v>#REF!</v>
      </c>
      <c r="AD144" s="134" t="e">
        <f>+IF(AD31&gt;0,IF(AD31=AD63,"OK","Błąd"),"N/D")</f>
        <v>#REF!</v>
      </c>
      <c r="AE144" s="134" t="e">
        <f>+IF(AE31&gt;0,IF(AE31=AE63,"OK","Błąd"),"N/D")</f>
        <v>#REF!</v>
      </c>
      <c r="AF144" s="134" t="e">
        <f>+IF(AF31&gt;0,IF(AF31=AF63,"OK","Błąd"),"N/D")</f>
        <v>#REF!</v>
      </c>
      <c r="AG144" s="134" t="e">
        <f>+IF(AG31&gt;0,IF(AG31=AG63,"OK","Błąd"),"N/D")</f>
        <v>#REF!</v>
      </c>
      <c r="AH144" s="134" t="e">
        <f>+IF(AH31&gt;0,IF(AH31=AH63,"OK","Błąd"),"N/D")</f>
        <v>#REF!</v>
      </c>
      <c r="AI144" s="134" t="e">
        <f>+IF(AI31&gt;0,IF(AI31=AI63,"OK","Błąd"),"N/D")</f>
        <v>#REF!</v>
      </c>
      <c r="AJ144" s="134" t="e">
        <f>+IF(AJ31&gt;0,IF(AJ31=AJ63,"OK","Błąd"),"N/D")</f>
        <v>#REF!</v>
      </c>
      <c r="AK144" s="134" t="e">
        <f>+IF(AK31&gt;0,IF(AK31=AK63,"OK","Błąd"),"N/D")</f>
        <v>#REF!</v>
      </c>
      <c r="AL144" s="134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36"/>
      <c r="C145" s="129" t="s">
        <v>324</v>
      </c>
      <c r="D145" s="142" t="s">
        <v>325</v>
      </c>
      <c r="E145" s="131" t="s">
        <v>8</v>
      </c>
      <c r="F145" s="132" t="s">
        <v>8</v>
      </c>
      <c r="G145" s="132" t="s">
        <v>8</v>
      </c>
      <c r="H145" s="133" t="s">
        <v>8</v>
      </c>
      <c r="I145" s="134">
        <f>IF(I63&gt;=I64,"OK","BŁĄD")</f>
        <v>0</v>
      </c>
      <c r="J145" s="135">
        <f>IF(J63&gt;=J64,"OK","BŁĄD")</f>
        <v>0</v>
      </c>
      <c r="K145" s="135">
        <f>IF(K63&gt;=K64,"OK","BŁĄD")</f>
        <v>0</v>
      </c>
      <c r="L145" s="135">
        <f>IF(L63&gt;=L64,"OK","BŁĄD")</f>
        <v>0</v>
      </c>
      <c r="M145" s="135">
        <f>IF(M63&gt;=M64,"OK","BŁĄD")</f>
        <v>0</v>
      </c>
      <c r="N145" s="135">
        <f>IF(N63&gt;=N64,"OK","BŁĄD")</f>
        <v>0</v>
      </c>
      <c r="O145" s="135">
        <f>IF(O63&gt;=O64,"OK","BŁĄD")</f>
        <v>0</v>
      </c>
      <c r="P145" s="135">
        <f>IF(P63&gt;=P64,"OK","BŁĄD")</f>
        <v>0</v>
      </c>
      <c r="Q145" s="135">
        <f>IF(Q63&gt;=Q64,"OK","BŁĄD")</f>
        <v>0</v>
      </c>
      <c r="R145" s="135" t="e">
        <f>IF(R63&gt;=R64,"OK","BŁĄD")</f>
        <v>#REF!</v>
      </c>
      <c r="S145" s="135" t="e">
        <f>IF(S63&gt;=S64,"OK","BŁĄD")</f>
        <v>#REF!</v>
      </c>
      <c r="T145" s="135" t="e">
        <f>IF(T63&gt;=T64,"OK","BŁĄD")</f>
        <v>#REF!</v>
      </c>
      <c r="U145" s="135" t="e">
        <f>IF(U63&gt;=U64,"OK","BŁĄD")</f>
        <v>#REF!</v>
      </c>
      <c r="V145" s="135" t="e">
        <f>IF(V63&gt;=V64,"OK","BŁĄD")</f>
        <v>#REF!</v>
      </c>
      <c r="W145" s="135" t="e">
        <f>IF(W63&gt;=W64,"OK","BŁĄD")</f>
        <v>#REF!</v>
      </c>
      <c r="X145" s="135" t="e">
        <f>IF(X63&gt;=X64,"OK","BŁĄD")</f>
        <v>#REF!</v>
      </c>
      <c r="Y145" s="135" t="e">
        <f>IF(Y63&gt;=Y64,"OK","BŁĄD")</f>
        <v>#REF!</v>
      </c>
      <c r="Z145" s="135" t="e">
        <f>IF(Z63&gt;=Z64,"OK","BŁĄD")</f>
        <v>#REF!</v>
      </c>
      <c r="AA145" s="135" t="e">
        <f>IF(AA63&gt;=AA64,"OK","BŁĄD")</f>
        <v>#REF!</v>
      </c>
      <c r="AB145" s="135" t="e">
        <f>IF(AB63&gt;=AB64,"OK","BŁĄD")</f>
        <v>#REF!</v>
      </c>
      <c r="AC145" s="135" t="e">
        <f>IF(AC63&gt;=AC64,"OK","BŁĄD")</f>
        <v>#REF!</v>
      </c>
      <c r="AD145" s="135" t="e">
        <f>IF(AD63&gt;=AD64,"OK","BŁĄD")</f>
        <v>#REF!</v>
      </c>
      <c r="AE145" s="135" t="e">
        <f>IF(AE63&gt;=AE64,"OK","BŁĄD")</f>
        <v>#REF!</v>
      </c>
      <c r="AF145" s="135" t="e">
        <f>IF(AF63&gt;=AF64,"OK","BŁĄD")</f>
        <v>#REF!</v>
      </c>
      <c r="AG145" s="135" t="e">
        <f>IF(AG63&gt;=AG64,"OK","BŁĄD")</f>
        <v>#REF!</v>
      </c>
      <c r="AH145" s="135" t="e">
        <f>IF(AH63&gt;=AH64,"OK","BŁĄD")</f>
        <v>#REF!</v>
      </c>
      <c r="AI145" s="135" t="e">
        <f>IF(AI63&gt;=AI64,"OK","BŁĄD")</f>
        <v>#REF!</v>
      </c>
      <c r="AJ145" s="135" t="e">
        <f>IF(AJ63&gt;=AJ64,"OK","BŁĄD")</f>
        <v>#REF!</v>
      </c>
      <c r="AK145" s="135" t="e">
        <f>IF(AK63&gt;=AK64,"OK","BŁĄD")</f>
        <v>#REF!</v>
      </c>
      <c r="AL145" s="337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8"/>
      <c r="C146" s="129" t="s">
        <v>326</v>
      </c>
      <c r="D146" s="142" t="s">
        <v>327</v>
      </c>
      <c r="E146" s="131" t="s">
        <v>8</v>
      </c>
      <c r="F146" s="132" t="s">
        <v>8</v>
      </c>
      <c r="G146" s="132" t="s">
        <v>8</v>
      </c>
      <c r="H146" s="133" t="s">
        <v>8</v>
      </c>
      <c r="I146" s="134">
        <f>IF(I63&gt;0,IF(I64&gt;0,"OK","BŁĄD"),"N/D")</f>
        <v>0</v>
      </c>
      <c r="J146" s="135">
        <f>IF(J63&gt;0,IF(J64&gt;0,"OK","BŁĄD"),"N/D")</f>
        <v>0</v>
      </c>
      <c r="K146" s="135">
        <f>IF(K63&gt;0,IF(K64&gt;0,"OK","BŁĄD"),"N/D")</f>
        <v>0</v>
      </c>
      <c r="L146" s="135">
        <f>IF(L63&gt;0,IF(L64&gt;0,"OK","BŁĄD"),"N/D")</f>
        <v>0</v>
      </c>
      <c r="M146" s="135">
        <f>IF(M63&gt;0,IF(M64&gt;0,"OK","BŁĄD"),"N/D")</f>
        <v>0</v>
      </c>
      <c r="N146" s="135">
        <f>IF(N63&gt;0,IF(N64&gt;0,"OK","BŁĄD"),"N/D")</f>
        <v>0</v>
      </c>
      <c r="O146" s="135">
        <f>IF(O63&gt;0,IF(O64&gt;0,"OK","BŁĄD"),"N/D")</f>
        <v>0</v>
      </c>
      <c r="P146" s="135">
        <f>IF(P63&gt;0,IF(P64&gt;0,"OK","BŁĄD"),"N/D")</f>
        <v>0</v>
      </c>
      <c r="Q146" s="135">
        <f>IF(Q63&gt;0,IF(Q64&gt;0,"OK","BŁĄD"),"N/D")</f>
        <v>0</v>
      </c>
      <c r="R146" s="135" t="e">
        <f>IF(R63&gt;0,IF(R64&gt;0,"OK","BŁĄD"),"N/D")</f>
        <v>#REF!</v>
      </c>
      <c r="S146" s="135" t="e">
        <f>IF(S63&gt;0,IF(S64&gt;0,"OK","BŁĄD"),"N/D")</f>
        <v>#REF!</v>
      </c>
      <c r="T146" s="135" t="e">
        <f>IF(T63&gt;0,IF(T64&gt;0,"OK","BŁĄD"),"N/D")</f>
        <v>#REF!</v>
      </c>
      <c r="U146" s="135" t="e">
        <f>IF(U63&gt;0,IF(U64&gt;0,"OK","BŁĄD"),"N/D")</f>
        <v>#REF!</v>
      </c>
      <c r="V146" s="135" t="e">
        <f>IF(V63&gt;0,IF(V64&gt;0,"OK","BŁĄD"),"N/D")</f>
        <v>#REF!</v>
      </c>
      <c r="W146" s="135" t="e">
        <f>IF(W63&gt;0,IF(W64&gt;0,"OK","BŁĄD"),"N/D")</f>
        <v>#REF!</v>
      </c>
      <c r="X146" s="135" t="e">
        <f>IF(X63&gt;0,IF(X64&gt;0,"OK","BŁĄD"),"N/D")</f>
        <v>#REF!</v>
      </c>
      <c r="Y146" s="135" t="e">
        <f>IF(Y63&gt;0,IF(Y64&gt;0,"OK","BŁĄD"),"N/D")</f>
        <v>#REF!</v>
      </c>
      <c r="Z146" s="135" t="e">
        <f>IF(Z63&gt;0,IF(Z64&gt;0,"OK","BŁĄD"),"N/D")</f>
        <v>#REF!</v>
      </c>
      <c r="AA146" s="135" t="e">
        <f>IF(AA63&gt;0,IF(AA64&gt;0,"OK","BŁĄD"),"N/D")</f>
        <v>#REF!</v>
      </c>
      <c r="AB146" s="135" t="e">
        <f>IF(AB63&gt;0,IF(AB64&gt;0,"OK","BŁĄD"),"N/D")</f>
        <v>#REF!</v>
      </c>
      <c r="AC146" s="135" t="e">
        <f>IF(AC63&gt;0,IF(AC64&gt;0,"OK","BŁĄD"),"N/D")</f>
        <v>#REF!</v>
      </c>
      <c r="AD146" s="135" t="e">
        <f>IF(AD63&gt;0,IF(AD64&gt;0,"OK","BŁĄD"),"N/D")</f>
        <v>#REF!</v>
      </c>
      <c r="AE146" s="135" t="e">
        <f>IF(AE63&gt;0,IF(AE64&gt;0,"OK","BŁĄD"),"N/D")</f>
        <v>#REF!</v>
      </c>
      <c r="AF146" s="135" t="e">
        <f>IF(AF63&gt;0,IF(AF64&gt;0,"OK","BŁĄD"),"N/D")</f>
        <v>#REF!</v>
      </c>
      <c r="AG146" s="135" t="e">
        <f>IF(AG63&gt;0,IF(AG64&gt;0,"OK","BŁĄD"),"N/D")</f>
        <v>#REF!</v>
      </c>
      <c r="AH146" s="135" t="e">
        <f>IF(AH63&gt;0,IF(AH64&gt;0,"OK","BŁĄD"),"N/D")</f>
        <v>#REF!</v>
      </c>
      <c r="AI146" s="135" t="e">
        <f>IF(AI63&gt;0,IF(AI64&gt;0,"OK","BŁĄD"),"N/D")</f>
        <v>#REF!</v>
      </c>
      <c r="AJ146" s="135" t="e">
        <f>IF(AJ63&gt;0,IF(AJ64&gt;0,"OK","BŁĄD"),"N/D")</f>
        <v>#REF!</v>
      </c>
      <c r="AK146" s="135" t="e">
        <f>IF(AK63&gt;0,IF(AK64&gt;0,"OK","BŁĄD"),"N/D")</f>
        <v>#REF!</v>
      </c>
      <c r="AL146" s="337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36"/>
      <c r="C147" s="129" t="s">
        <v>328</v>
      </c>
      <c r="D147" s="142" t="s">
        <v>329</v>
      </c>
      <c r="E147" s="131" t="s">
        <v>8</v>
      </c>
      <c r="F147" s="132" t="s">
        <v>8</v>
      </c>
      <c r="G147" s="132" t="s">
        <v>8</v>
      </c>
      <c r="H147" s="133" t="s">
        <v>8</v>
      </c>
      <c r="I147" s="134">
        <f aca="true" t="shared" si="0" ref="I147:I148">IF(I75&gt;=I76,"OK","BŁĄD")</f>
        <v>0</v>
      </c>
      <c r="J147" s="135">
        <f aca="true" t="shared" si="1" ref="J147:J148">IF(J75&gt;=J76,"OK","BŁĄD")</f>
        <v>0</v>
      </c>
      <c r="K147" s="135">
        <f aca="true" t="shared" si="2" ref="K147:K148">IF(K75&gt;=K76,"OK","BŁĄD")</f>
        <v>0</v>
      </c>
      <c r="L147" s="135">
        <f aca="true" t="shared" si="3" ref="L147:L148">IF(L75&gt;=L76,"OK","BŁĄD")</f>
        <v>0</v>
      </c>
      <c r="M147" s="135">
        <f aca="true" t="shared" si="4" ref="M147:M148">IF(M75&gt;=M76,"OK","BŁĄD")</f>
        <v>0</v>
      </c>
      <c r="N147" s="135">
        <f aca="true" t="shared" si="5" ref="N147:N148">IF(N75&gt;=N76,"OK","BŁĄD")</f>
        <v>0</v>
      </c>
      <c r="O147" s="135">
        <f aca="true" t="shared" si="6" ref="O147:O148">IF(O75&gt;=O76,"OK","BŁĄD")</f>
        <v>0</v>
      </c>
      <c r="P147" s="135">
        <f aca="true" t="shared" si="7" ref="P147:P148">IF(P75&gt;=P76,"OK","BŁĄD")</f>
        <v>0</v>
      </c>
      <c r="Q147" s="135">
        <f aca="true" t="shared" si="8" ref="Q147:Q148">IF(Q75&gt;=Q76,"OK","BŁĄD")</f>
        <v>0</v>
      </c>
      <c r="R147" s="135" t="e">
        <f aca="true" t="shared" si="9" ref="R147:R148">IF(R75&gt;=R76,"OK","BŁĄD")</f>
        <v>#REF!</v>
      </c>
      <c r="S147" s="135" t="e">
        <f aca="true" t="shared" si="10" ref="S147:S148">IF(S75&gt;=S76,"OK","BŁĄD")</f>
        <v>#REF!</v>
      </c>
      <c r="T147" s="135" t="e">
        <f aca="true" t="shared" si="11" ref="T147:T148">IF(T75&gt;=T76,"OK","BŁĄD")</f>
        <v>#REF!</v>
      </c>
      <c r="U147" s="135" t="e">
        <f aca="true" t="shared" si="12" ref="U147:U148">IF(U75&gt;=U76,"OK","BŁĄD")</f>
        <v>#REF!</v>
      </c>
      <c r="V147" s="135" t="e">
        <f aca="true" t="shared" si="13" ref="V147:V148">IF(V75&gt;=V76,"OK","BŁĄD")</f>
        <v>#REF!</v>
      </c>
      <c r="W147" s="135" t="e">
        <f aca="true" t="shared" si="14" ref="W147:W148">IF(W75&gt;=W76,"OK","BŁĄD")</f>
        <v>#REF!</v>
      </c>
      <c r="X147" s="135" t="e">
        <f aca="true" t="shared" si="15" ref="X147:X148">IF(X75&gt;=X76,"OK","BŁĄD")</f>
        <v>#REF!</v>
      </c>
      <c r="Y147" s="135" t="e">
        <f aca="true" t="shared" si="16" ref="Y147:Y148">IF(Y75&gt;=Y76,"OK","BŁĄD")</f>
        <v>#REF!</v>
      </c>
      <c r="Z147" s="135" t="e">
        <f aca="true" t="shared" si="17" ref="Z147:Z148">IF(Z75&gt;=Z76,"OK","BŁĄD")</f>
        <v>#REF!</v>
      </c>
      <c r="AA147" s="135" t="e">
        <f aca="true" t="shared" si="18" ref="AA147:AA148">IF(AA75&gt;=AA76,"OK","BŁĄD")</f>
        <v>#REF!</v>
      </c>
      <c r="AB147" s="135" t="e">
        <f aca="true" t="shared" si="19" ref="AB147:AB148">IF(AB75&gt;=AB76,"OK","BŁĄD")</f>
        <v>#REF!</v>
      </c>
      <c r="AC147" s="135" t="e">
        <f aca="true" t="shared" si="20" ref="AC147:AC148">IF(AC75&gt;=AC76,"OK","BŁĄD")</f>
        <v>#REF!</v>
      </c>
      <c r="AD147" s="135" t="e">
        <f aca="true" t="shared" si="21" ref="AD147:AD148">IF(AD75&gt;=AD76,"OK","BŁĄD")</f>
        <v>#REF!</v>
      </c>
      <c r="AE147" s="135" t="e">
        <f aca="true" t="shared" si="22" ref="AE147:AE148">IF(AE75&gt;=AE76,"OK","BŁĄD")</f>
        <v>#REF!</v>
      </c>
      <c r="AF147" s="135" t="e">
        <f aca="true" t="shared" si="23" ref="AF147:AF148">IF(AF75&gt;=AF76,"OK","BŁĄD")</f>
        <v>#REF!</v>
      </c>
      <c r="AG147" s="135" t="e">
        <f aca="true" t="shared" si="24" ref="AG147:AG148">IF(AG75&gt;=AG76,"OK","BŁĄD")</f>
        <v>#REF!</v>
      </c>
      <c r="AH147" s="135" t="e">
        <f aca="true" t="shared" si="25" ref="AH147:AH148">IF(AH75&gt;=AH76,"OK","BŁĄD")</f>
        <v>#REF!</v>
      </c>
      <c r="AI147" s="135" t="e">
        <f aca="true" t="shared" si="26" ref="AI147:AI148">IF(AI75&gt;=AI76,"OK","BŁĄD")</f>
        <v>#REF!</v>
      </c>
      <c r="AJ147" s="135" t="e">
        <f aca="true" t="shared" si="27" ref="AJ147:AJ148">IF(AJ75&gt;=AJ76,"OK","BŁĄD")</f>
        <v>#REF!</v>
      </c>
      <c r="AK147" s="135" t="e">
        <f aca="true" t="shared" si="28" ref="AK147:AK148">IF(AK75&gt;=AK76,"OK","BŁĄD")</f>
        <v>#REF!</v>
      </c>
      <c r="AL147" s="337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36"/>
      <c r="C148" s="129" t="s">
        <v>330</v>
      </c>
      <c r="D148" s="142" t="s">
        <v>331</v>
      </c>
      <c r="E148" s="131" t="s">
        <v>8</v>
      </c>
      <c r="F148" s="132" t="s">
        <v>8</v>
      </c>
      <c r="G148" s="132" t="s">
        <v>8</v>
      </c>
      <c r="H148" s="133" t="s">
        <v>8</v>
      </c>
      <c r="I148" s="134">
        <f t="shared" si="0"/>
        <v>0</v>
      </c>
      <c r="J148" s="135">
        <f t="shared" si="1"/>
        <v>0</v>
      </c>
      <c r="K148" s="135">
        <f t="shared" si="2"/>
        <v>0</v>
      </c>
      <c r="L148" s="135">
        <f t="shared" si="3"/>
        <v>0</v>
      </c>
      <c r="M148" s="135">
        <f t="shared" si="4"/>
        <v>0</v>
      </c>
      <c r="N148" s="135">
        <f t="shared" si="5"/>
        <v>0</v>
      </c>
      <c r="O148" s="135">
        <f t="shared" si="6"/>
        <v>0</v>
      </c>
      <c r="P148" s="135">
        <f t="shared" si="7"/>
        <v>0</v>
      </c>
      <c r="Q148" s="135">
        <f t="shared" si="8"/>
        <v>0</v>
      </c>
      <c r="R148" s="135" t="e">
        <f t="shared" si="9"/>
        <v>#REF!</v>
      </c>
      <c r="S148" s="135" t="e">
        <f t="shared" si="10"/>
        <v>#REF!</v>
      </c>
      <c r="T148" s="135" t="e">
        <f t="shared" si="11"/>
        <v>#REF!</v>
      </c>
      <c r="U148" s="135" t="e">
        <f t="shared" si="12"/>
        <v>#REF!</v>
      </c>
      <c r="V148" s="135" t="e">
        <f t="shared" si="13"/>
        <v>#REF!</v>
      </c>
      <c r="W148" s="135" t="e">
        <f t="shared" si="14"/>
        <v>#REF!</v>
      </c>
      <c r="X148" s="135" t="e">
        <f t="shared" si="15"/>
        <v>#REF!</v>
      </c>
      <c r="Y148" s="135" t="e">
        <f t="shared" si="16"/>
        <v>#REF!</v>
      </c>
      <c r="Z148" s="135" t="e">
        <f t="shared" si="17"/>
        <v>#REF!</v>
      </c>
      <c r="AA148" s="135" t="e">
        <f t="shared" si="18"/>
        <v>#REF!</v>
      </c>
      <c r="AB148" s="135" t="e">
        <f t="shared" si="19"/>
        <v>#REF!</v>
      </c>
      <c r="AC148" s="135" t="e">
        <f t="shared" si="20"/>
        <v>#REF!</v>
      </c>
      <c r="AD148" s="135" t="e">
        <f t="shared" si="21"/>
        <v>#REF!</v>
      </c>
      <c r="AE148" s="135" t="e">
        <f t="shared" si="22"/>
        <v>#REF!</v>
      </c>
      <c r="AF148" s="135" t="e">
        <f t="shared" si="23"/>
        <v>#REF!</v>
      </c>
      <c r="AG148" s="135" t="e">
        <f t="shared" si="24"/>
        <v>#REF!</v>
      </c>
      <c r="AH148" s="135" t="e">
        <f t="shared" si="25"/>
        <v>#REF!</v>
      </c>
      <c r="AI148" s="135" t="e">
        <f t="shared" si="26"/>
        <v>#REF!</v>
      </c>
      <c r="AJ148" s="135" t="e">
        <f t="shared" si="27"/>
        <v>#REF!</v>
      </c>
      <c r="AK148" s="135" t="e">
        <f t="shared" si="28"/>
        <v>#REF!</v>
      </c>
      <c r="AL148" s="337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36"/>
      <c r="C149" s="129" t="s">
        <v>332</v>
      </c>
      <c r="D149" s="142" t="s">
        <v>333</v>
      </c>
      <c r="E149" s="131" t="s">
        <v>8</v>
      </c>
      <c r="F149" s="132" t="s">
        <v>8</v>
      </c>
      <c r="G149" s="132" t="s">
        <v>8</v>
      </c>
      <c r="H149" s="133" t="s">
        <v>8</v>
      </c>
      <c r="I149" s="134">
        <f aca="true" t="shared" si="30" ref="I149:I150">IF(I78&gt;=I79,"OK","BŁĄD")</f>
        <v>0</v>
      </c>
      <c r="J149" s="135">
        <f aca="true" t="shared" si="31" ref="J149:J150">IF(J78&gt;=J79,"OK","BŁĄD")</f>
        <v>0</v>
      </c>
      <c r="K149" s="135">
        <f aca="true" t="shared" si="32" ref="K149:K150">IF(K78&gt;=K79,"OK","BŁĄD")</f>
        <v>0</v>
      </c>
      <c r="L149" s="135">
        <f aca="true" t="shared" si="33" ref="L149:L150">IF(L78&gt;=L79,"OK","BŁĄD")</f>
        <v>0</v>
      </c>
      <c r="M149" s="135">
        <f aca="true" t="shared" si="34" ref="M149:M150">IF(M78&gt;=M79,"OK","BŁĄD")</f>
        <v>0</v>
      </c>
      <c r="N149" s="135">
        <f aca="true" t="shared" si="35" ref="N149:N150">IF(N78&gt;=N79,"OK","BŁĄD")</f>
        <v>0</v>
      </c>
      <c r="O149" s="135">
        <f aca="true" t="shared" si="36" ref="O149:O150">IF(O78&gt;=O79,"OK","BŁĄD")</f>
        <v>0</v>
      </c>
      <c r="P149" s="135">
        <f aca="true" t="shared" si="37" ref="P149:P150">IF(P78&gt;=P79,"OK","BŁĄD")</f>
        <v>0</v>
      </c>
      <c r="Q149" s="135">
        <f aca="true" t="shared" si="38" ref="Q149:Q150">IF(Q78&gt;=Q79,"OK","BŁĄD")</f>
        <v>0</v>
      </c>
      <c r="R149" s="135" t="e">
        <f aca="true" t="shared" si="39" ref="R149:R150">IF(R78&gt;=R79,"OK","BŁĄD")</f>
        <v>#REF!</v>
      </c>
      <c r="S149" s="135" t="e">
        <f aca="true" t="shared" si="40" ref="S149:S150">IF(S78&gt;=S79,"OK","BŁĄD")</f>
        <v>#REF!</v>
      </c>
      <c r="T149" s="135" t="e">
        <f aca="true" t="shared" si="41" ref="T149:T150">IF(T78&gt;=T79,"OK","BŁĄD")</f>
        <v>#REF!</v>
      </c>
      <c r="U149" s="135" t="e">
        <f aca="true" t="shared" si="42" ref="U149:U150">IF(U78&gt;=U79,"OK","BŁĄD")</f>
        <v>#REF!</v>
      </c>
      <c r="V149" s="135" t="e">
        <f aca="true" t="shared" si="43" ref="V149:V150">IF(V78&gt;=V79,"OK","BŁĄD")</f>
        <v>#REF!</v>
      </c>
      <c r="W149" s="135" t="e">
        <f aca="true" t="shared" si="44" ref="W149:W150">IF(W78&gt;=W79,"OK","BŁĄD")</f>
        <v>#REF!</v>
      </c>
      <c r="X149" s="135" t="e">
        <f aca="true" t="shared" si="45" ref="X149:X150">IF(X78&gt;=X79,"OK","BŁĄD")</f>
        <v>#REF!</v>
      </c>
      <c r="Y149" s="135" t="e">
        <f aca="true" t="shared" si="46" ref="Y149:Y150">IF(Y78&gt;=Y79,"OK","BŁĄD")</f>
        <v>#REF!</v>
      </c>
      <c r="Z149" s="135" t="e">
        <f aca="true" t="shared" si="47" ref="Z149:Z150">IF(Z78&gt;=Z79,"OK","BŁĄD")</f>
        <v>#REF!</v>
      </c>
      <c r="AA149" s="135" t="e">
        <f aca="true" t="shared" si="48" ref="AA149:AA150">IF(AA78&gt;=AA79,"OK","BŁĄD")</f>
        <v>#REF!</v>
      </c>
      <c r="AB149" s="135" t="e">
        <f aca="true" t="shared" si="49" ref="AB149:AB150">IF(AB78&gt;=AB79,"OK","BŁĄD")</f>
        <v>#REF!</v>
      </c>
      <c r="AC149" s="135" t="e">
        <f aca="true" t="shared" si="50" ref="AC149:AC150">IF(AC78&gt;=AC79,"OK","BŁĄD")</f>
        <v>#REF!</v>
      </c>
      <c r="AD149" s="135" t="e">
        <f aca="true" t="shared" si="51" ref="AD149:AD150">IF(AD78&gt;=AD79,"OK","BŁĄD")</f>
        <v>#REF!</v>
      </c>
      <c r="AE149" s="135" t="e">
        <f aca="true" t="shared" si="52" ref="AE149:AE150">IF(AE78&gt;=AE79,"OK","BŁĄD")</f>
        <v>#REF!</v>
      </c>
      <c r="AF149" s="135" t="e">
        <f aca="true" t="shared" si="53" ref="AF149:AF150">IF(AF78&gt;=AF79,"OK","BŁĄD")</f>
        <v>#REF!</v>
      </c>
      <c r="AG149" s="135" t="e">
        <f aca="true" t="shared" si="54" ref="AG149:AG150">IF(AG78&gt;=AG79,"OK","BŁĄD")</f>
        <v>#REF!</v>
      </c>
      <c r="AH149" s="135" t="e">
        <f aca="true" t="shared" si="55" ref="AH149:AH150">IF(AH78&gt;=AH79,"OK","BŁĄD")</f>
        <v>#REF!</v>
      </c>
      <c r="AI149" s="135" t="e">
        <f aca="true" t="shared" si="56" ref="AI149:AI150">IF(AI78&gt;=AI79,"OK","BŁĄD")</f>
        <v>#REF!</v>
      </c>
      <c r="AJ149" s="135" t="e">
        <f aca="true" t="shared" si="57" ref="AJ149:AJ150">IF(AJ78&gt;=AJ79,"OK","BŁĄD")</f>
        <v>#REF!</v>
      </c>
      <c r="AK149" s="135" t="e">
        <f aca="true" t="shared" si="58" ref="AK149:AK150">IF(AK78&gt;=AK79,"OK","BŁĄD")</f>
        <v>#REF!</v>
      </c>
      <c r="AL149" s="337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36"/>
      <c r="C150" s="129" t="s">
        <v>334</v>
      </c>
      <c r="D150" s="142" t="s">
        <v>335</v>
      </c>
      <c r="E150" s="131" t="s">
        <v>8</v>
      </c>
      <c r="F150" s="132" t="s">
        <v>8</v>
      </c>
      <c r="G150" s="132" t="s">
        <v>8</v>
      </c>
      <c r="H150" s="133" t="s">
        <v>8</v>
      </c>
      <c r="I150" s="134">
        <f t="shared" si="30"/>
        <v>0</v>
      </c>
      <c r="J150" s="135">
        <f t="shared" si="31"/>
        <v>0</v>
      </c>
      <c r="K150" s="135">
        <f t="shared" si="32"/>
        <v>0</v>
      </c>
      <c r="L150" s="135">
        <f t="shared" si="33"/>
        <v>0</v>
      </c>
      <c r="M150" s="135">
        <f t="shared" si="34"/>
        <v>0</v>
      </c>
      <c r="N150" s="135">
        <f t="shared" si="35"/>
        <v>0</v>
      </c>
      <c r="O150" s="135">
        <f t="shared" si="36"/>
        <v>0</v>
      </c>
      <c r="P150" s="135">
        <f t="shared" si="37"/>
        <v>0</v>
      </c>
      <c r="Q150" s="135">
        <f t="shared" si="38"/>
        <v>0</v>
      </c>
      <c r="R150" s="135" t="e">
        <f t="shared" si="39"/>
        <v>#REF!</v>
      </c>
      <c r="S150" s="135" t="e">
        <f t="shared" si="40"/>
        <v>#REF!</v>
      </c>
      <c r="T150" s="135" t="e">
        <f t="shared" si="41"/>
        <v>#REF!</v>
      </c>
      <c r="U150" s="135" t="e">
        <f t="shared" si="42"/>
        <v>#REF!</v>
      </c>
      <c r="V150" s="135" t="e">
        <f t="shared" si="43"/>
        <v>#REF!</v>
      </c>
      <c r="W150" s="135" t="e">
        <f t="shared" si="44"/>
        <v>#REF!</v>
      </c>
      <c r="X150" s="135" t="e">
        <f t="shared" si="45"/>
        <v>#REF!</v>
      </c>
      <c r="Y150" s="135" t="e">
        <f t="shared" si="46"/>
        <v>#REF!</v>
      </c>
      <c r="Z150" s="135" t="e">
        <f t="shared" si="47"/>
        <v>#REF!</v>
      </c>
      <c r="AA150" s="135" t="e">
        <f t="shared" si="48"/>
        <v>#REF!</v>
      </c>
      <c r="AB150" s="135" t="e">
        <f t="shared" si="49"/>
        <v>#REF!</v>
      </c>
      <c r="AC150" s="135" t="e">
        <f t="shared" si="50"/>
        <v>#REF!</v>
      </c>
      <c r="AD150" s="135" t="e">
        <f t="shared" si="51"/>
        <v>#REF!</v>
      </c>
      <c r="AE150" s="135" t="e">
        <f t="shared" si="52"/>
        <v>#REF!</v>
      </c>
      <c r="AF150" s="135" t="e">
        <f t="shared" si="53"/>
        <v>#REF!</v>
      </c>
      <c r="AG150" s="135" t="e">
        <f t="shared" si="54"/>
        <v>#REF!</v>
      </c>
      <c r="AH150" s="135" t="e">
        <f t="shared" si="55"/>
        <v>#REF!</v>
      </c>
      <c r="AI150" s="135" t="e">
        <f t="shared" si="56"/>
        <v>#REF!</v>
      </c>
      <c r="AJ150" s="135" t="e">
        <f t="shared" si="57"/>
        <v>#REF!</v>
      </c>
      <c r="AK150" s="135" t="e">
        <f t="shared" si="58"/>
        <v>#REF!</v>
      </c>
      <c r="AL150" s="337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36"/>
      <c r="C151" s="129" t="s">
        <v>336</v>
      </c>
      <c r="D151" s="142" t="s">
        <v>337</v>
      </c>
      <c r="E151" s="131" t="s">
        <v>8</v>
      </c>
      <c r="F151" s="132" t="s">
        <v>8</v>
      </c>
      <c r="G151" s="132" t="s">
        <v>8</v>
      </c>
      <c r="H151" s="133" t="s">
        <v>8</v>
      </c>
      <c r="I151" s="134">
        <f>IF(I81&gt;=I82,"OK","BŁĄD")</f>
        <v>0</v>
      </c>
      <c r="J151" s="135">
        <f>IF(J81&gt;=J82,"OK","BŁĄD")</f>
        <v>0</v>
      </c>
      <c r="K151" s="135">
        <f>IF(K81&gt;=K82,"OK","BŁĄD")</f>
        <v>0</v>
      </c>
      <c r="L151" s="135">
        <f>IF(L81&gt;=L82,"OK","BŁĄD")</f>
        <v>0</v>
      </c>
      <c r="M151" s="135">
        <f>IF(M81&gt;=M82,"OK","BŁĄD")</f>
        <v>0</v>
      </c>
      <c r="N151" s="135">
        <f>IF(N81&gt;=N82,"OK","BŁĄD")</f>
        <v>0</v>
      </c>
      <c r="O151" s="135">
        <f>IF(O81&gt;=O82,"OK","BŁĄD")</f>
        <v>0</v>
      </c>
      <c r="P151" s="135">
        <f>IF(P81&gt;=P82,"OK","BŁĄD")</f>
        <v>0</v>
      </c>
      <c r="Q151" s="135">
        <f>IF(Q81&gt;=Q82,"OK","BŁĄD")</f>
        <v>0</v>
      </c>
      <c r="R151" s="135" t="e">
        <f>IF(R81&gt;=R82,"OK","BŁĄD")</f>
        <v>#REF!</v>
      </c>
      <c r="S151" s="135" t="e">
        <f>IF(S81&gt;=S82,"OK","BŁĄD")</f>
        <v>#REF!</v>
      </c>
      <c r="T151" s="135" t="e">
        <f>IF(T81&gt;=T82,"OK","BŁĄD")</f>
        <v>#REF!</v>
      </c>
      <c r="U151" s="135" t="e">
        <f>IF(U81&gt;=U82,"OK","BŁĄD")</f>
        <v>#REF!</v>
      </c>
      <c r="V151" s="135" t="e">
        <f>IF(V81&gt;=V82,"OK","BŁĄD")</f>
        <v>#REF!</v>
      </c>
      <c r="W151" s="135" t="e">
        <f>IF(W81&gt;=W82,"OK","BŁĄD")</f>
        <v>#REF!</v>
      </c>
      <c r="X151" s="135" t="e">
        <f>IF(X81&gt;=X82,"OK","BŁĄD")</f>
        <v>#REF!</v>
      </c>
      <c r="Y151" s="135" t="e">
        <f>IF(Y81&gt;=Y82,"OK","BŁĄD")</f>
        <v>#REF!</v>
      </c>
      <c r="Z151" s="135" t="e">
        <f>IF(Z81&gt;=Z82,"OK","BŁĄD")</f>
        <v>#REF!</v>
      </c>
      <c r="AA151" s="135" t="e">
        <f>IF(AA81&gt;=AA82,"OK","BŁĄD")</f>
        <v>#REF!</v>
      </c>
      <c r="AB151" s="135" t="e">
        <f>IF(AB81&gt;=AB82,"OK","BŁĄD")</f>
        <v>#REF!</v>
      </c>
      <c r="AC151" s="135" t="e">
        <f>IF(AC81&gt;=AC82,"OK","BŁĄD")</f>
        <v>#REF!</v>
      </c>
      <c r="AD151" s="135" t="e">
        <f>IF(AD81&gt;=AD82,"OK","BŁĄD")</f>
        <v>#REF!</v>
      </c>
      <c r="AE151" s="135" t="e">
        <f>IF(AE81&gt;=AE82,"OK","BŁĄD")</f>
        <v>#REF!</v>
      </c>
      <c r="AF151" s="135" t="e">
        <f>IF(AF81&gt;=AF82,"OK","BŁĄD")</f>
        <v>#REF!</v>
      </c>
      <c r="AG151" s="135" t="e">
        <f>IF(AG81&gt;=AG82,"OK","BŁĄD")</f>
        <v>#REF!</v>
      </c>
      <c r="AH151" s="135" t="e">
        <f>IF(AH81&gt;=AH82,"OK","BŁĄD")</f>
        <v>#REF!</v>
      </c>
      <c r="AI151" s="135" t="e">
        <f>IF(AI81&gt;=AI82,"OK","BŁĄD")</f>
        <v>#REF!</v>
      </c>
      <c r="AJ151" s="135" t="e">
        <f>IF(AJ81&gt;=AJ82,"OK","BŁĄD")</f>
        <v>#REF!</v>
      </c>
      <c r="AK151" s="135" t="e">
        <f>IF(AK81&gt;=AK82,"OK","BŁĄD")</f>
        <v>#REF!</v>
      </c>
      <c r="AL151" s="337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36"/>
      <c r="C152" s="129" t="s">
        <v>338</v>
      </c>
      <c r="D152" s="142" t="s">
        <v>339</v>
      </c>
      <c r="E152" s="131" t="s">
        <v>8</v>
      </c>
      <c r="F152" s="132" t="s">
        <v>8</v>
      </c>
      <c r="G152" s="132" t="s">
        <v>8</v>
      </c>
      <c r="H152" s="133" t="s">
        <v>8</v>
      </c>
      <c r="I152" s="134">
        <f>IF(I81&gt;=I83,"OK","BŁĄD")</f>
        <v>0</v>
      </c>
      <c r="J152" s="135">
        <f>IF(J81&gt;=J83,"OK","BŁĄD")</f>
        <v>0</v>
      </c>
      <c r="K152" s="135">
        <f>IF(K81&gt;=K83,"OK","BŁĄD")</f>
        <v>0</v>
      </c>
      <c r="L152" s="135">
        <f>IF(L81&gt;=L83,"OK","BŁĄD")</f>
        <v>0</v>
      </c>
      <c r="M152" s="135">
        <f>IF(M81&gt;=M83,"OK","BŁĄD")</f>
        <v>0</v>
      </c>
      <c r="N152" s="135">
        <f>IF(N81&gt;=N83,"OK","BŁĄD")</f>
        <v>0</v>
      </c>
      <c r="O152" s="135">
        <f>IF(O81&gt;=O83,"OK","BŁĄD")</f>
        <v>0</v>
      </c>
      <c r="P152" s="135">
        <f>IF(P81&gt;=P83,"OK","BŁĄD")</f>
        <v>0</v>
      </c>
      <c r="Q152" s="135">
        <f>IF(Q81&gt;=Q83,"OK","BŁĄD")</f>
        <v>0</v>
      </c>
      <c r="R152" s="135" t="e">
        <f>IF(R81&gt;=R83,"OK","BŁĄD")</f>
        <v>#REF!</v>
      </c>
      <c r="S152" s="135" t="e">
        <f>IF(S81&gt;=S83,"OK","BŁĄD")</f>
        <v>#REF!</v>
      </c>
      <c r="T152" s="135" t="e">
        <f>IF(T81&gt;=T83,"OK","BŁĄD")</f>
        <v>#REF!</v>
      </c>
      <c r="U152" s="135" t="e">
        <f>IF(U81&gt;=U83,"OK","BŁĄD")</f>
        <v>#REF!</v>
      </c>
      <c r="V152" s="135" t="e">
        <f>IF(V81&gt;=V83,"OK","BŁĄD")</f>
        <v>#REF!</v>
      </c>
      <c r="W152" s="135" t="e">
        <f>IF(W81&gt;=W83,"OK","BŁĄD")</f>
        <v>#REF!</v>
      </c>
      <c r="X152" s="135" t="e">
        <f>IF(X81&gt;=X83,"OK","BŁĄD")</f>
        <v>#REF!</v>
      </c>
      <c r="Y152" s="135" t="e">
        <f>IF(Y81&gt;=Y83,"OK","BŁĄD")</f>
        <v>#REF!</v>
      </c>
      <c r="Z152" s="135" t="e">
        <f>IF(Z81&gt;=Z83,"OK","BŁĄD")</f>
        <v>#REF!</v>
      </c>
      <c r="AA152" s="135" t="e">
        <f>IF(AA81&gt;=AA83,"OK","BŁĄD")</f>
        <v>#REF!</v>
      </c>
      <c r="AB152" s="135" t="e">
        <f>IF(AB81&gt;=AB83,"OK","BŁĄD")</f>
        <v>#REF!</v>
      </c>
      <c r="AC152" s="135" t="e">
        <f>IF(AC81&gt;=AC83,"OK","BŁĄD")</f>
        <v>#REF!</v>
      </c>
      <c r="AD152" s="135" t="e">
        <f>IF(AD81&gt;=AD83,"OK","BŁĄD")</f>
        <v>#REF!</v>
      </c>
      <c r="AE152" s="135" t="e">
        <f>IF(AE81&gt;=AE83,"OK","BŁĄD")</f>
        <v>#REF!</v>
      </c>
      <c r="AF152" s="135" t="e">
        <f>IF(AF81&gt;=AF83,"OK","BŁĄD")</f>
        <v>#REF!</v>
      </c>
      <c r="AG152" s="135" t="e">
        <f>IF(AG81&gt;=AG83,"OK","BŁĄD")</f>
        <v>#REF!</v>
      </c>
      <c r="AH152" s="135" t="e">
        <f>IF(AH81&gt;=AH83,"OK","BŁĄD")</f>
        <v>#REF!</v>
      </c>
      <c r="AI152" s="135" t="e">
        <f>IF(AI81&gt;=AI83,"OK","BŁĄD")</f>
        <v>#REF!</v>
      </c>
      <c r="AJ152" s="135" t="e">
        <f>IF(AJ81&gt;=AJ83,"OK","BŁĄD")</f>
        <v>#REF!</v>
      </c>
      <c r="AK152" s="135" t="e">
        <f>IF(AK81&gt;=AK83,"OK","BŁĄD")</f>
        <v>#REF!</v>
      </c>
      <c r="AL152" s="337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36"/>
      <c r="C153" s="129" t="s">
        <v>340</v>
      </c>
      <c r="D153" s="142" t="s">
        <v>341</v>
      </c>
      <c r="E153" s="131" t="s">
        <v>8</v>
      </c>
      <c r="F153" s="132" t="s">
        <v>8</v>
      </c>
      <c r="G153" s="132" t="s">
        <v>8</v>
      </c>
      <c r="H153" s="133" t="s">
        <v>8</v>
      </c>
      <c r="I153" s="134">
        <f>IF(I84&gt;=I85,"OK","BŁĄD")</f>
        <v>0</v>
      </c>
      <c r="J153" s="135">
        <f>IF(J84&gt;=J85,"OK","BŁĄD")</f>
        <v>0</v>
      </c>
      <c r="K153" s="135">
        <f>IF(K84&gt;=K85,"OK","BŁĄD")</f>
        <v>0</v>
      </c>
      <c r="L153" s="135">
        <f>IF(L84&gt;=L85,"OK","BŁĄD")</f>
        <v>0</v>
      </c>
      <c r="M153" s="135">
        <f>IF(M84&gt;=M85,"OK","BŁĄD")</f>
        <v>0</v>
      </c>
      <c r="N153" s="135">
        <f>IF(N84&gt;=N85,"OK","BŁĄD")</f>
        <v>0</v>
      </c>
      <c r="O153" s="135">
        <f>IF(O84&gt;=O85,"OK","BŁĄD")</f>
        <v>0</v>
      </c>
      <c r="P153" s="135">
        <f>IF(P84&gt;=P85,"OK","BŁĄD")</f>
        <v>0</v>
      </c>
      <c r="Q153" s="135">
        <f>IF(Q84&gt;=Q85,"OK","BŁĄD")</f>
        <v>0</v>
      </c>
      <c r="R153" s="135" t="e">
        <f>IF(R84&gt;=R85,"OK","BŁĄD")</f>
        <v>#REF!</v>
      </c>
      <c r="S153" s="135" t="e">
        <f>IF(S84&gt;=S85,"OK","BŁĄD")</f>
        <v>#REF!</v>
      </c>
      <c r="T153" s="135" t="e">
        <f>IF(T84&gt;=T85,"OK","BŁĄD")</f>
        <v>#REF!</v>
      </c>
      <c r="U153" s="135" t="e">
        <f>IF(U84&gt;=U85,"OK","BŁĄD")</f>
        <v>#REF!</v>
      </c>
      <c r="V153" s="135" t="e">
        <f>IF(V84&gt;=V85,"OK","BŁĄD")</f>
        <v>#REF!</v>
      </c>
      <c r="W153" s="135" t="e">
        <f>IF(W84&gt;=W85,"OK","BŁĄD")</f>
        <v>#REF!</v>
      </c>
      <c r="X153" s="135" t="e">
        <f>IF(X84&gt;=X85,"OK","BŁĄD")</f>
        <v>#REF!</v>
      </c>
      <c r="Y153" s="135" t="e">
        <f>IF(Y84&gt;=Y85,"OK","BŁĄD")</f>
        <v>#REF!</v>
      </c>
      <c r="Z153" s="135" t="e">
        <f>IF(Z84&gt;=Z85,"OK","BŁĄD")</f>
        <v>#REF!</v>
      </c>
      <c r="AA153" s="135" t="e">
        <f>IF(AA84&gt;=AA85,"OK","BŁĄD")</f>
        <v>#REF!</v>
      </c>
      <c r="AB153" s="135" t="e">
        <f>IF(AB84&gt;=AB85,"OK","BŁĄD")</f>
        <v>#REF!</v>
      </c>
      <c r="AC153" s="135" t="e">
        <f>IF(AC84&gt;=AC85,"OK","BŁĄD")</f>
        <v>#REF!</v>
      </c>
      <c r="AD153" s="135" t="e">
        <f>IF(AD84&gt;=AD85,"OK","BŁĄD")</f>
        <v>#REF!</v>
      </c>
      <c r="AE153" s="135" t="e">
        <f>IF(AE84&gt;=AE85,"OK","BŁĄD")</f>
        <v>#REF!</v>
      </c>
      <c r="AF153" s="135" t="e">
        <f>IF(AF84&gt;=AF85,"OK","BŁĄD")</f>
        <v>#REF!</v>
      </c>
      <c r="AG153" s="135" t="e">
        <f>IF(AG84&gt;=AG85,"OK","BŁĄD")</f>
        <v>#REF!</v>
      </c>
      <c r="AH153" s="135" t="e">
        <f>IF(AH84&gt;=AH85,"OK","BŁĄD")</f>
        <v>#REF!</v>
      </c>
      <c r="AI153" s="135" t="e">
        <f>IF(AI84&gt;=AI85,"OK","BŁĄD")</f>
        <v>#REF!</v>
      </c>
      <c r="AJ153" s="135" t="e">
        <f>IF(AJ84&gt;=AJ85,"OK","BŁĄD")</f>
        <v>#REF!</v>
      </c>
      <c r="AK153" s="135" t="e">
        <f>IF(AK84&gt;=AK85,"OK","BŁĄD")</f>
        <v>#REF!</v>
      </c>
      <c r="AL153" s="337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36"/>
      <c r="C154" s="129" t="s">
        <v>342</v>
      </c>
      <c r="D154" s="142" t="s">
        <v>343</v>
      </c>
      <c r="E154" s="131" t="s">
        <v>8</v>
      </c>
      <c r="F154" s="132" t="s">
        <v>8</v>
      </c>
      <c r="G154" s="132" t="s">
        <v>8</v>
      </c>
      <c r="H154" s="133" t="s">
        <v>8</v>
      </c>
      <c r="I154" s="134">
        <f>IF(I84&gt;=I86,"OK","BŁĄD")</f>
        <v>0</v>
      </c>
      <c r="J154" s="135">
        <f>IF(J84&gt;=J86,"OK","BŁĄD")</f>
        <v>0</v>
      </c>
      <c r="K154" s="135">
        <f>IF(K84&gt;=K86,"OK","BŁĄD")</f>
        <v>0</v>
      </c>
      <c r="L154" s="135">
        <f>IF(L84&gt;=L86,"OK","BŁĄD")</f>
        <v>0</v>
      </c>
      <c r="M154" s="135">
        <f>IF(M84&gt;=M86,"OK","BŁĄD")</f>
        <v>0</v>
      </c>
      <c r="N154" s="135">
        <f>IF(N84&gt;=N86,"OK","BŁĄD")</f>
        <v>0</v>
      </c>
      <c r="O154" s="135">
        <f>IF(O84&gt;=O86,"OK","BŁĄD")</f>
        <v>0</v>
      </c>
      <c r="P154" s="135">
        <f>IF(P84&gt;=P86,"OK","BŁĄD")</f>
        <v>0</v>
      </c>
      <c r="Q154" s="135">
        <f>IF(Q84&gt;=Q86,"OK","BŁĄD")</f>
        <v>0</v>
      </c>
      <c r="R154" s="135" t="e">
        <f>IF(R84&gt;=R86,"OK","BŁĄD")</f>
        <v>#REF!</v>
      </c>
      <c r="S154" s="135" t="e">
        <f>IF(S84&gt;=S86,"OK","BŁĄD")</f>
        <v>#REF!</v>
      </c>
      <c r="T154" s="135" t="e">
        <f>IF(T84&gt;=T86,"OK","BŁĄD")</f>
        <v>#REF!</v>
      </c>
      <c r="U154" s="135" t="e">
        <f>IF(U84&gt;=U86,"OK","BŁĄD")</f>
        <v>#REF!</v>
      </c>
      <c r="V154" s="135" t="e">
        <f>IF(V84&gt;=V86,"OK","BŁĄD")</f>
        <v>#REF!</v>
      </c>
      <c r="W154" s="135" t="e">
        <f>IF(W84&gt;=W86,"OK","BŁĄD")</f>
        <v>#REF!</v>
      </c>
      <c r="X154" s="135" t="e">
        <f>IF(X84&gt;=X86,"OK","BŁĄD")</f>
        <v>#REF!</v>
      </c>
      <c r="Y154" s="135" t="e">
        <f>IF(Y84&gt;=Y86,"OK","BŁĄD")</f>
        <v>#REF!</v>
      </c>
      <c r="Z154" s="135" t="e">
        <f>IF(Z84&gt;=Z86,"OK","BŁĄD")</f>
        <v>#REF!</v>
      </c>
      <c r="AA154" s="135" t="e">
        <f>IF(AA84&gt;=AA86,"OK","BŁĄD")</f>
        <v>#REF!</v>
      </c>
      <c r="AB154" s="135" t="e">
        <f>IF(AB84&gt;=AB86,"OK","BŁĄD")</f>
        <v>#REF!</v>
      </c>
      <c r="AC154" s="135" t="e">
        <f>IF(AC84&gt;=AC86,"OK","BŁĄD")</f>
        <v>#REF!</v>
      </c>
      <c r="AD154" s="135" t="e">
        <f>IF(AD84&gt;=AD86,"OK","BŁĄD")</f>
        <v>#REF!</v>
      </c>
      <c r="AE154" s="135" t="e">
        <f>IF(AE84&gt;=AE86,"OK","BŁĄD")</f>
        <v>#REF!</v>
      </c>
      <c r="AF154" s="135" t="e">
        <f>IF(AF84&gt;=AF86,"OK","BŁĄD")</f>
        <v>#REF!</v>
      </c>
      <c r="AG154" s="135" t="e">
        <f>IF(AG84&gt;=AG86,"OK","BŁĄD")</f>
        <v>#REF!</v>
      </c>
      <c r="AH154" s="135" t="e">
        <f>IF(AH84&gt;=AH86,"OK","BŁĄD")</f>
        <v>#REF!</v>
      </c>
      <c r="AI154" s="135" t="e">
        <f>IF(AI84&gt;=AI86,"OK","BŁĄD")</f>
        <v>#REF!</v>
      </c>
      <c r="AJ154" s="135" t="e">
        <f>IF(AJ84&gt;=AJ86,"OK","BŁĄD")</f>
        <v>#REF!</v>
      </c>
      <c r="AK154" s="135" t="e">
        <f>IF(AK84&gt;=AK86,"OK","BŁĄD")</f>
        <v>#REF!</v>
      </c>
      <c r="AL154" s="337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36"/>
      <c r="C155" s="129" t="s">
        <v>340</v>
      </c>
      <c r="D155" s="142" t="s">
        <v>344</v>
      </c>
      <c r="E155" s="131" t="s">
        <v>8</v>
      </c>
      <c r="F155" s="132" t="s">
        <v>8</v>
      </c>
      <c r="G155" s="132" t="s">
        <v>8</v>
      </c>
      <c r="H155" s="133" t="s">
        <v>8</v>
      </c>
      <c r="I155" s="134">
        <f>IF(I87&gt;=I88,"OK","BŁĄD")</f>
        <v>0</v>
      </c>
      <c r="J155" s="135">
        <f>IF(J87&gt;=J88,"OK","BŁĄD")</f>
        <v>0</v>
      </c>
      <c r="K155" s="135">
        <f>IF(K87&gt;=K88,"OK","BŁĄD")</f>
        <v>0</v>
      </c>
      <c r="L155" s="135">
        <f>IF(L87&gt;=L88,"OK","BŁĄD")</f>
        <v>0</v>
      </c>
      <c r="M155" s="135">
        <f>IF(M87&gt;=M88,"OK","BŁĄD")</f>
        <v>0</v>
      </c>
      <c r="N155" s="135">
        <f>IF(N87&gt;=N88,"OK","BŁĄD")</f>
        <v>0</v>
      </c>
      <c r="O155" s="135">
        <f>IF(O87&gt;=O88,"OK","BŁĄD")</f>
        <v>0</v>
      </c>
      <c r="P155" s="135">
        <f>IF(P87&gt;=P88,"OK","BŁĄD")</f>
        <v>0</v>
      </c>
      <c r="Q155" s="135">
        <f>IF(Q87&gt;=Q88,"OK","BŁĄD")</f>
        <v>0</v>
      </c>
      <c r="R155" s="135" t="e">
        <f>IF(R87&gt;=R88,"OK","BŁĄD")</f>
        <v>#REF!</v>
      </c>
      <c r="S155" s="135" t="e">
        <f>IF(S87&gt;=S88,"OK","BŁĄD")</f>
        <v>#REF!</v>
      </c>
      <c r="T155" s="135" t="e">
        <f>IF(T87&gt;=T88,"OK","BŁĄD")</f>
        <v>#REF!</v>
      </c>
      <c r="U155" s="135" t="e">
        <f>IF(U87&gt;=U88,"OK","BŁĄD")</f>
        <v>#REF!</v>
      </c>
      <c r="V155" s="135" t="e">
        <f>IF(V87&gt;=V88,"OK","BŁĄD")</f>
        <v>#REF!</v>
      </c>
      <c r="W155" s="135" t="e">
        <f>IF(W87&gt;=W88,"OK","BŁĄD")</f>
        <v>#REF!</v>
      </c>
      <c r="X155" s="135" t="e">
        <f>IF(X87&gt;=X88,"OK","BŁĄD")</f>
        <v>#REF!</v>
      </c>
      <c r="Y155" s="135" t="e">
        <f>IF(Y87&gt;=Y88,"OK","BŁĄD")</f>
        <v>#REF!</v>
      </c>
      <c r="Z155" s="135" t="e">
        <f>IF(Z87&gt;=Z88,"OK","BŁĄD")</f>
        <v>#REF!</v>
      </c>
      <c r="AA155" s="135" t="e">
        <f>IF(AA87&gt;=AA88,"OK","BŁĄD")</f>
        <v>#REF!</v>
      </c>
      <c r="AB155" s="135" t="e">
        <f>IF(AB87&gt;=AB88,"OK","BŁĄD")</f>
        <v>#REF!</v>
      </c>
      <c r="AC155" s="135" t="e">
        <f>IF(AC87&gt;=AC88,"OK","BŁĄD")</f>
        <v>#REF!</v>
      </c>
      <c r="AD155" s="135" t="e">
        <f>IF(AD87&gt;=AD88,"OK","BŁĄD")</f>
        <v>#REF!</v>
      </c>
      <c r="AE155" s="135" t="e">
        <f>IF(AE87&gt;=AE88,"OK","BŁĄD")</f>
        <v>#REF!</v>
      </c>
      <c r="AF155" s="135" t="e">
        <f>IF(AF87&gt;=AF88,"OK","BŁĄD")</f>
        <v>#REF!</v>
      </c>
      <c r="AG155" s="135" t="e">
        <f>IF(AG87&gt;=AG88,"OK","BŁĄD")</f>
        <v>#REF!</v>
      </c>
      <c r="AH155" s="135" t="e">
        <f>IF(AH87&gt;=AH88,"OK","BŁĄD")</f>
        <v>#REF!</v>
      </c>
      <c r="AI155" s="135" t="e">
        <f>IF(AI87&gt;=AI88,"OK","BŁĄD")</f>
        <v>#REF!</v>
      </c>
      <c r="AJ155" s="135" t="e">
        <f>IF(AJ87&gt;=AJ88,"OK","BŁĄD")</f>
        <v>#REF!</v>
      </c>
      <c r="AK155" s="135" t="e">
        <f>IF(AK87&gt;=AK88,"OK","BŁĄD")</f>
        <v>#REF!</v>
      </c>
      <c r="AL155" s="337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36"/>
      <c r="C156" s="129" t="s">
        <v>340</v>
      </c>
      <c r="D156" s="142" t="s">
        <v>345</v>
      </c>
      <c r="E156" s="131" t="s">
        <v>8</v>
      </c>
      <c r="F156" s="132" t="s">
        <v>8</v>
      </c>
      <c r="G156" s="132" t="s">
        <v>8</v>
      </c>
      <c r="H156" s="133" t="s">
        <v>8</v>
      </c>
      <c r="I156" s="134">
        <f>IF(I89&gt;=I90,"OK","BŁĄD")</f>
        <v>0</v>
      </c>
      <c r="J156" s="135">
        <f>IF(J89&gt;=J90,"OK","BŁĄD")</f>
        <v>0</v>
      </c>
      <c r="K156" s="135">
        <f>IF(K89&gt;=K90,"OK","BŁĄD")</f>
        <v>0</v>
      </c>
      <c r="L156" s="135">
        <f>IF(L89&gt;=L90,"OK","BŁĄD")</f>
        <v>0</v>
      </c>
      <c r="M156" s="135">
        <f>IF(M89&gt;=M90,"OK","BŁĄD")</f>
        <v>0</v>
      </c>
      <c r="N156" s="135">
        <f>IF(N89&gt;=N90,"OK","BŁĄD")</f>
        <v>0</v>
      </c>
      <c r="O156" s="135">
        <f>IF(O89&gt;=O90,"OK","BŁĄD")</f>
        <v>0</v>
      </c>
      <c r="P156" s="135">
        <f>IF(P89&gt;=P90,"OK","BŁĄD")</f>
        <v>0</v>
      </c>
      <c r="Q156" s="135">
        <f>IF(Q89&gt;=Q90,"OK","BŁĄD")</f>
        <v>0</v>
      </c>
      <c r="R156" s="135" t="e">
        <f>IF(R89&gt;=R90,"OK","BŁĄD")</f>
        <v>#REF!</v>
      </c>
      <c r="S156" s="135" t="e">
        <f>IF(S89&gt;=S90,"OK","BŁĄD")</f>
        <v>#REF!</v>
      </c>
      <c r="T156" s="135" t="e">
        <f>IF(T89&gt;=T90,"OK","BŁĄD")</f>
        <v>#REF!</v>
      </c>
      <c r="U156" s="135" t="e">
        <f>IF(U89&gt;=U90,"OK","BŁĄD")</f>
        <v>#REF!</v>
      </c>
      <c r="V156" s="135" t="e">
        <f>IF(V89&gt;=V90,"OK","BŁĄD")</f>
        <v>#REF!</v>
      </c>
      <c r="W156" s="135" t="e">
        <f>IF(W89&gt;=W90,"OK","BŁĄD")</f>
        <v>#REF!</v>
      </c>
      <c r="X156" s="135" t="e">
        <f>IF(X89&gt;=X90,"OK","BŁĄD")</f>
        <v>#REF!</v>
      </c>
      <c r="Y156" s="135" t="e">
        <f>IF(Y89&gt;=Y90,"OK","BŁĄD")</f>
        <v>#REF!</v>
      </c>
      <c r="Z156" s="135" t="e">
        <f>IF(Z89&gt;=Z90,"OK","BŁĄD")</f>
        <v>#REF!</v>
      </c>
      <c r="AA156" s="135" t="e">
        <f>IF(AA89&gt;=AA90,"OK","BŁĄD")</f>
        <v>#REF!</v>
      </c>
      <c r="AB156" s="135" t="e">
        <f>IF(AB89&gt;=AB90,"OK","BŁĄD")</f>
        <v>#REF!</v>
      </c>
      <c r="AC156" s="135" t="e">
        <f>IF(AC89&gt;=AC90,"OK","BŁĄD")</f>
        <v>#REF!</v>
      </c>
      <c r="AD156" s="135" t="e">
        <f>IF(AD89&gt;=AD90,"OK","BŁĄD")</f>
        <v>#REF!</v>
      </c>
      <c r="AE156" s="135" t="e">
        <f>IF(AE89&gt;=AE90,"OK","BŁĄD")</f>
        <v>#REF!</v>
      </c>
      <c r="AF156" s="135" t="e">
        <f>IF(AF89&gt;=AF90,"OK","BŁĄD")</f>
        <v>#REF!</v>
      </c>
      <c r="AG156" s="135" t="e">
        <f>IF(AG89&gt;=AG90,"OK","BŁĄD")</f>
        <v>#REF!</v>
      </c>
      <c r="AH156" s="135" t="e">
        <f>IF(AH89&gt;=AH90,"OK","BŁĄD")</f>
        <v>#REF!</v>
      </c>
      <c r="AI156" s="135" t="e">
        <f>IF(AI89&gt;=AI90,"OK","BŁĄD")</f>
        <v>#REF!</v>
      </c>
      <c r="AJ156" s="135" t="e">
        <f>IF(AJ89&gt;=AJ90,"OK","BŁĄD")</f>
        <v>#REF!</v>
      </c>
      <c r="AK156" s="135" t="e">
        <f>IF(AK89&gt;=AK90,"OK","BŁĄD")</f>
        <v>#REF!</v>
      </c>
      <c r="AL156" s="337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36"/>
      <c r="C157" s="129" t="s">
        <v>340</v>
      </c>
      <c r="D157" s="142" t="s">
        <v>346</v>
      </c>
      <c r="E157" s="131" t="s">
        <v>8</v>
      </c>
      <c r="F157" s="132" t="s">
        <v>8</v>
      </c>
      <c r="G157" s="132" t="s">
        <v>8</v>
      </c>
      <c r="H157" s="133" t="s">
        <v>8</v>
      </c>
      <c r="I157" s="134">
        <f>IF(I91&gt;=I92,"OK","BŁĄD")</f>
        <v>0</v>
      </c>
      <c r="J157" s="135">
        <f>IF(J91&gt;=J92,"OK","BŁĄD")</f>
        <v>0</v>
      </c>
      <c r="K157" s="135">
        <f>IF(K91&gt;=K92,"OK","BŁĄD")</f>
        <v>0</v>
      </c>
      <c r="L157" s="135">
        <f>IF(L91&gt;=L92,"OK","BŁĄD")</f>
        <v>0</v>
      </c>
      <c r="M157" s="135">
        <f>IF(M91&gt;=M92,"OK","BŁĄD")</f>
        <v>0</v>
      </c>
      <c r="N157" s="135">
        <f>IF(N91&gt;=N92,"OK","BŁĄD")</f>
        <v>0</v>
      </c>
      <c r="O157" s="135">
        <f>IF(O91&gt;=O92,"OK","BŁĄD")</f>
        <v>0</v>
      </c>
      <c r="P157" s="135">
        <f>IF(P91&gt;=P92,"OK","BŁĄD")</f>
        <v>0</v>
      </c>
      <c r="Q157" s="135">
        <f>IF(Q91&gt;=Q92,"OK","BŁĄD")</f>
        <v>0</v>
      </c>
      <c r="R157" s="135" t="e">
        <f>IF(R91&gt;=R92,"OK","BŁĄD")</f>
        <v>#REF!</v>
      </c>
      <c r="S157" s="135" t="e">
        <f>IF(S91&gt;=S92,"OK","BŁĄD")</f>
        <v>#REF!</v>
      </c>
      <c r="T157" s="135" t="e">
        <f>IF(T91&gt;=T92,"OK","BŁĄD")</f>
        <v>#REF!</v>
      </c>
      <c r="U157" s="135" t="e">
        <f>IF(U91&gt;=U92,"OK","BŁĄD")</f>
        <v>#REF!</v>
      </c>
      <c r="V157" s="135" t="e">
        <f>IF(V91&gt;=V92,"OK","BŁĄD")</f>
        <v>#REF!</v>
      </c>
      <c r="W157" s="135" t="e">
        <f>IF(W91&gt;=W92,"OK","BŁĄD")</f>
        <v>#REF!</v>
      </c>
      <c r="X157" s="135" t="e">
        <f>IF(X91&gt;=X92,"OK","BŁĄD")</f>
        <v>#REF!</v>
      </c>
      <c r="Y157" s="135" t="e">
        <f>IF(Y91&gt;=Y92,"OK","BŁĄD")</f>
        <v>#REF!</v>
      </c>
      <c r="Z157" s="135" t="e">
        <f>IF(Z91&gt;=Z92,"OK","BŁĄD")</f>
        <v>#REF!</v>
      </c>
      <c r="AA157" s="135" t="e">
        <f>IF(AA91&gt;=AA92,"OK","BŁĄD")</f>
        <v>#REF!</v>
      </c>
      <c r="AB157" s="135" t="e">
        <f>IF(AB91&gt;=AB92,"OK","BŁĄD")</f>
        <v>#REF!</v>
      </c>
      <c r="AC157" s="135" t="e">
        <f>IF(AC91&gt;=AC92,"OK","BŁĄD")</f>
        <v>#REF!</v>
      </c>
      <c r="AD157" s="135" t="e">
        <f>IF(AD91&gt;=AD92,"OK","BŁĄD")</f>
        <v>#REF!</v>
      </c>
      <c r="AE157" s="135" t="e">
        <f>IF(AE91&gt;=AE92,"OK","BŁĄD")</f>
        <v>#REF!</v>
      </c>
      <c r="AF157" s="135" t="e">
        <f>IF(AF91&gt;=AF92,"OK","BŁĄD")</f>
        <v>#REF!</v>
      </c>
      <c r="AG157" s="135" t="e">
        <f>IF(AG91&gt;=AG92,"OK","BŁĄD")</f>
        <v>#REF!</v>
      </c>
      <c r="AH157" s="135" t="e">
        <f>IF(AH91&gt;=AH92,"OK","BŁĄD")</f>
        <v>#REF!</v>
      </c>
      <c r="AI157" s="135" t="e">
        <f>IF(AI91&gt;=AI92,"OK","BŁĄD")</f>
        <v>#REF!</v>
      </c>
      <c r="AJ157" s="135" t="e">
        <f>IF(AJ91&gt;=AJ92,"OK","BŁĄD")</f>
        <v>#REF!</v>
      </c>
      <c r="AK157" s="135" t="e">
        <f>IF(AK91&gt;=AK92,"OK","BŁĄD")</f>
        <v>#REF!</v>
      </c>
      <c r="AL157" s="337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36"/>
      <c r="C158" s="129" t="s">
        <v>340</v>
      </c>
      <c r="D158" s="142" t="s">
        <v>347</v>
      </c>
      <c r="E158" s="131" t="s">
        <v>8</v>
      </c>
      <c r="F158" s="132" t="s">
        <v>8</v>
      </c>
      <c r="G158" s="132" t="s">
        <v>8</v>
      </c>
      <c r="H158" s="133" t="s">
        <v>8</v>
      </c>
      <c r="I158" s="134">
        <f>IF(I93&gt;=I94,"OK","BŁĄD")</f>
        <v>0</v>
      </c>
      <c r="J158" s="135">
        <f>IF(J93&gt;=J94,"OK","BŁĄD")</f>
        <v>0</v>
      </c>
      <c r="K158" s="135">
        <f>IF(K93&gt;=K94,"OK","BŁĄD")</f>
        <v>0</v>
      </c>
      <c r="L158" s="135">
        <f>IF(L93&gt;=L94,"OK","BŁĄD")</f>
        <v>0</v>
      </c>
      <c r="M158" s="135">
        <f>IF(M93&gt;=M94,"OK","BŁĄD")</f>
        <v>0</v>
      </c>
      <c r="N158" s="135">
        <f>IF(N93&gt;=N94,"OK","BŁĄD")</f>
        <v>0</v>
      </c>
      <c r="O158" s="135">
        <f>IF(O93&gt;=O94,"OK","BŁĄD")</f>
        <v>0</v>
      </c>
      <c r="P158" s="135">
        <f>IF(P93&gt;=P94,"OK","BŁĄD")</f>
        <v>0</v>
      </c>
      <c r="Q158" s="135">
        <f>IF(Q93&gt;=Q94,"OK","BŁĄD")</f>
        <v>0</v>
      </c>
      <c r="R158" s="135" t="e">
        <f>IF(R93&gt;=R94,"OK","BŁĄD")</f>
        <v>#REF!</v>
      </c>
      <c r="S158" s="135" t="e">
        <f>IF(S93&gt;=S94,"OK","BŁĄD")</f>
        <v>#REF!</v>
      </c>
      <c r="T158" s="135" t="e">
        <f>IF(T93&gt;=T94,"OK","BŁĄD")</f>
        <v>#REF!</v>
      </c>
      <c r="U158" s="135" t="e">
        <f>IF(U93&gt;=U94,"OK","BŁĄD")</f>
        <v>#REF!</v>
      </c>
      <c r="V158" s="135" t="e">
        <f>IF(V93&gt;=V94,"OK","BŁĄD")</f>
        <v>#REF!</v>
      </c>
      <c r="W158" s="135" t="e">
        <f>IF(W93&gt;=W94,"OK","BŁĄD")</f>
        <v>#REF!</v>
      </c>
      <c r="X158" s="135" t="e">
        <f>IF(X93&gt;=X94,"OK","BŁĄD")</f>
        <v>#REF!</v>
      </c>
      <c r="Y158" s="135" t="e">
        <f>IF(Y93&gt;=Y94,"OK","BŁĄD")</f>
        <v>#REF!</v>
      </c>
      <c r="Z158" s="135" t="e">
        <f>IF(Z93&gt;=Z94,"OK","BŁĄD")</f>
        <v>#REF!</v>
      </c>
      <c r="AA158" s="135" t="e">
        <f>IF(AA93&gt;=AA94,"OK","BŁĄD")</f>
        <v>#REF!</v>
      </c>
      <c r="AB158" s="135" t="e">
        <f>IF(AB93&gt;=AB94,"OK","BŁĄD")</f>
        <v>#REF!</v>
      </c>
      <c r="AC158" s="135" t="e">
        <f>IF(AC93&gt;=AC94,"OK","BŁĄD")</f>
        <v>#REF!</v>
      </c>
      <c r="AD158" s="135" t="e">
        <f>IF(AD93&gt;=AD94,"OK","BŁĄD")</f>
        <v>#REF!</v>
      </c>
      <c r="AE158" s="135" t="e">
        <f>IF(AE93&gt;=AE94,"OK","BŁĄD")</f>
        <v>#REF!</v>
      </c>
      <c r="AF158" s="135" t="e">
        <f>IF(AF93&gt;=AF94,"OK","BŁĄD")</f>
        <v>#REF!</v>
      </c>
      <c r="AG158" s="135" t="e">
        <f>IF(AG93&gt;=AG94,"OK","BŁĄD")</f>
        <v>#REF!</v>
      </c>
      <c r="AH158" s="135" t="e">
        <f>IF(AH93&gt;=AH94,"OK","BŁĄD")</f>
        <v>#REF!</v>
      </c>
      <c r="AI158" s="135" t="e">
        <f>IF(AI93&gt;=AI94,"OK","BŁĄD")</f>
        <v>#REF!</v>
      </c>
      <c r="AJ158" s="135" t="e">
        <f>IF(AJ93&gt;=AJ94,"OK","BŁĄD")</f>
        <v>#REF!</v>
      </c>
      <c r="AK158" s="135" t="e">
        <f>IF(AK93&gt;=AK94,"OK","BŁĄD")</f>
        <v>#REF!</v>
      </c>
      <c r="AL158" s="337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36"/>
      <c r="C159" s="129" t="s">
        <v>348</v>
      </c>
      <c r="D159" s="142" t="s">
        <v>349</v>
      </c>
      <c r="E159" s="131" t="s">
        <v>8</v>
      </c>
      <c r="F159" s="132" t="s">
        <v>8</v>
      </c>
      <c r="G159" s="132" t="s">
        <v>8</v>
      </c>
      <c r="H159" s="133" t="s">
        <v>8</v>
      </c>
      <c r="I159" s="134">
        <f>IF(I96&gt;=I98,"OK","BŁĄD")</f>
        <v>0</v>
      </c>
      <c r="J159" s="135">
        <f>IF(J96&gt;=J98,"OK","BŁĄD")</f>
        <v>0</v>
      </c>
      <c r="K159" s="135">
        <f>IF(K96&gt;=K98,"OK","BŁĄD")</f>
        <v>0</v>
      </c>
      <c r="L159" s="135">
        <f>IF(L96&gt;=L98,"OK","BŁĄD")</f>
        <v>0</v>
      </c>
      <c r="M159" s="135">
        <f>IF(M96&gt;=M98,"OK","BŁĄD")</f>
        <v>0</v>
      </c>
      <c r="N159" s="135">
        <f>IF(N96&gt;=N98,"OK","BŁĄD")</f>
        <v>0</v>
      </c>
      <c r="O159" s="135">
        <f>IF(O96&gt;=O98,"OK","BŁĄD")</f>
        <v>0</v>
      </c>
      <c r="P159" s="135">
        <f>IF(P96&gt;=P98,"OK","BŁĄD")</f>
        <v>0</v>
      </c>
      <c r="Q159" s="135">
        <f>IF(Q96&gt;=Q98,"OK","BŁĄD")</f>
        <v>0</v>
      </c>
      <c r="R159" s="135" t="e">
        <f>IF(R96&gt;=R98,"OK","BŁĄD")</f>
        <v>#REF!</v>
      </c>
      <c r="S159" s="135" t="e">
        <f>IF(S96&gt;=S98,"OK","BŁĄD")</f>
        <v>#REF!</v>
      </c>
      <c r="T159" s="135" t="e">
        <f>IF(T96&gt;=T98,"OK","BŁĄD")</f>
        <v>#REF!</v>
      </c>
      <c r="U159" s="135" t="e">
        <f>IF(U96&gt;=U98,"OK","BŁĄD")</f>
        <v>#REF!</v>
      </c>
      <c r="V159" s="135" t="e">
        <f>IF(V96&gt;=V98,"OK","BŁĄD")</f>
        <v>#REF!</v>
      </c>
      <c r="W159" s="135" t="e">
        <f>IF(W96&gt;=W98,"OK","BŁĄD")</f>
        <v>#REF!</v>
      </c>
      <c r="X159" s="135" t="e">
        <f>IF(X96&gt;=X98,"OK","BŁĄD")</f>
        <v>#REF!</v>
      </c>
      <c r="Y159" s="135" t="e">
        <f>IF(Y96&gt;=Y98,"OK","BŁĄD")</f>
        <v>#REF!</v>
      </c>
      <c r="Z159" s="135" t="e">
        <f>IF(Z96&gt;=Z98,"OK","BŁĄD")</f>
        <v>#REF!</v>
      </c>
      <c r="AA159" s="135" t="e">
        <f>IF(AA96&gt;=AA98,"OK","BŁĄD")</f>
        <v>#REF!</v>
      </c>
      <c r="AB159" s="135" t="e">
        <f>IF(AB96&gt;=AB98,"OK","BŁĄD")</f>
        <v>#REF!</v>
      </c>
      <c r="AC159" s="135" t="e">
        <f>IF(AC96&gt;=AC98,"OK","BŁĄD")</f>
        <v>#REF!</v>
      </c>
      <c r="AD159" s="135" t="e">
        <f>IF(AD96&gt;=AD98,"OK","BŁĄD")</f>
        <v>#REF!</v>
      </c>
      <c r="AE159" s="135" t="e">
        <f>IF(AE96&gt;=AE98,"OK","BŁĄD")</f>
        <v>#REF!</v>
      </c>
      <c r="AF159" s="135" t="e">
        <f>IF(AF96&gt;=AF98,"OK","BŁĄD")</f>
        <v>#REF!</v>
      </c>
      <c r="AG159" s="135" t="e">
        <f>IF(AG96&gt;=AG98,"OK","BŁĄD")</f>
        <v>#REF!</v>
      </c>
      <c r="AH159" s="135" t="e">
        <f>IF(AH96&gt;=AH98,"OK","BŁĄD")</f>
        <v>#REF!</v>
      </c>
      <c r="AI159" s="135" t="e">
        <f>IF(AI96&gt;=AI98,"OK","BŁĄD")</f>
        <v>#REF!</v>
      </c>
      <c r="AJ159" s="135" t="e">
        <f>IF(AJ96&gt;=AJ98,"OK","BŁĄD")</f>
        <v>#REF!</v>
      </c>
      <c r="AK159" s="135" t="e">
        <f>IF(AK96&gt;=AK98,"OK","BŁĄD")</f>
        <v>#REF!</v>
      </c>
      <c r="AL159" s="337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36"/>
      <c r="C160" s="129" t="s">
        <v>350</v>
      </c>
      <c r="D160" s="142" t="s">
        <v>351</v>
      </c>
      <c r="E160" s="131" t="s">
        <v>8</v>
      </c>
      <c r="F160" s="132" t="s">
        <v>8</v>
      </c>
      <c r="G160" s="132" t="s">
        <v>8</v>
      </c>
      <c r="H160" s="133" t="s">
        <v>8</v>
      </c>
      <c r="I160" s="134">
        <f>IF(I99&gt;=I25,"OK","BŁĄD")</f>
        <v>0</v>
      </c>
      <c r="J160" s="135">
        <f>IF(J99&gt;=J25,"OK","BŁĄD")</f>
        <v>0</v>
      </c>
      <c r="K160" s="135">
        <f>IF(K99&gt;=K25,"OK","BŁĄD")</f>
        <v>0</v>
      </c>
      <c r="L160" s="135">
        <f>IF(L99&gt;=L25,"OK","BŁĄD")</f>
        <v>0</v>
      </c>
      <c r="M160" s="135">
        <f>IF(M99&gt;=M25,"OK","BŁĄD")</f>
        <v>0</v>
      </c>
      <c r="N160" s="135">
        <f>IF(N99&gt;=N25,"OK","BŁĄD")</f>
        <v>0</v>
      </c>
      <c r="O160" s="135">
        <f>IF(O99&gt;=O25,"OK","BŁĄD")</f>
        <v>0</v>
      </c>
      <c r="P160" s="135">
        <f>IF(P99&gt;=P25,"OK","BŁĄD")</f>
        <v>0</v>
      </c>
      <c r="Q160" s="135">
        <f>IF(Q99&gt;=Q25,"OK","BŁĄD")</f>
        <v>0</v>
      </c>
      <c r="R160" s="135" t="e">
        <f>IF(R99&gt;=R25,"OK","BŁĄD")</f>
        <v>#REF!</v>
      </c>
      <c r="S160" s="135" t="e">
        <f>IF(S99&gt;=S25,"OK","BŁĄD")</f>
        <v>#REF!</v>
      </c>
      <c r="T160" s="135" t="e">
        <f>IF(T99&gt;=T25,"OK","BŁĄD")</f>
        <v>#REF!</v>
      </c>
      <c r="U160" s="135" t="e">
        <f>IF(U99&gt;=U25,"OK","BŁĄD")</f>
        <v>#REF!</v>
      </c>
      <c r="V160" s="135" t="e">
        <f>IF(V99&gt;=V25,"OK","BŁĄD")</f>
        <v>#REF!</v>
      </c>
      <c r="W160" s="135" t="e">
        <f>IF(W99&gt;=W25,"OK","BŁĄD")</f>
        <v>#REF!</v>
      </c>
      <c r="X160" s="135" t="e">
        <f>IF(X99&gt;=X25,"OK","BŁĄD")</f>
        <v>#REF!</v>
      </c>
      <c r="Y160" s="135" t="e">
        <f>IF(Y99&gt;=Y25,"OK","BŁĄD")</f>
        <v>#REF!</v>
      </c>
      <c r="Z160" s="135" t="e">
        <f>IF(Z99&gt;=Z25,"OK","BŁĄD")</f>
        <v>#REF!</v>
      </c>
      <c r="AA160" s="135" t="e">
        <f>IF(AA99&gt;=AA25,"OK","BŁĄD")</f>
        <v>#REF!</v>
      </c>
      <c r="AB160" s="135" t="e">
        <f>IF(AB99&gt;=AB25,"OK","BŁĄD")</f>
        <v>#REF!</v>
      </c>
      <c r="AC160" s="135" t="e">
        <f>IF(AC99&gt;=AC25,"OK","BŁĄD")</f>
        <v>#REF!</v>
      </c>
      <c r="AD160" s="135" t="e">
        <f>IF(AD99&gt;=AD25,"OK","BŁĄD")</f>
        <v>#REF!</v>
      </c>
      <c r="AE160" s="135" t="e">
        <f>IF(AE99&gt;=AE25,"OK","BŁĄD")</f>
        <v>#REF!</v>
      </c>
      <c r="AF160" s="135" t="e">
        <f>IF(AF99&gt;=AF25,"OK","BŁĄD")</f>
        <v>#REF!</v>
      </c>
      <c r="AG160" s="135" t="e">
        <f>IF(AG99&gt;=AG25,"OK","BŁĄD")</f>
        <v>#REF!</v>
      </c>
      <c r="AH160" s="135" t="e">
        <f>IF(AH99&gt;=AH25,"OK","BŁĄD")</f>
        <v>#REF!</v>
      </c>
      <c r="AI160" s="135" t="e">
        <f>IF(AI99&gt;=AI25,"OK","BŁĄD")</f>
        <v>#REF!</v>
      </c>
      <c r="AJ160" s="135" t="e">
        <f>IF(AJ99&gt;=AJ25,"OK","BŁĄD")</f>
        <v>#REF!</v>
      </c>
      <c r="AK160" s="135" t="e">
        <f>IF(AK99&gt;=AK25,"OK","BŁĄD")</f>
        <v>#REF!</v>
      </c>
      <c r="AL160" s="337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36"/>
      <c r="C161" s="129" t="s">
        <v>352</v>
      </c>
      <c r="D161" s="142" t="s">
        <v>353</v>
      </c>
      <c r="E161" s="131" t="s">
        <v>8</v>
      </c>
      <c r="F161" s="132" t="s">
        <v>8</v>
      </c>
      <c r="G161" s="132" t="s">
        <v>8</v>
      </c>
      <c r="H161" s="133" t="s">
        <v>8</v>
      </c>
      <c r="I161" s="134">
        <f>IF(I106&gt;=(I107+I108+I109),"OK","BŁĄD")</f>
        <v>0</v>
      </c>
      <c r="J161" s="135">
        <f>IF(J106&gt;=(J107+J108+J109),"OK","BŁĄD")</f>
        <v>0</v>
      </c>
      <c r="K161" s="135">
        <f>IF(K106&gt;=(K107+K108+K109),"OK","BŁĄD")</f>
        <v>0</v>
      </c>
      <c r="L161" s="135">
        <f>IF(L106&gt;=(L107+L108+L109),"OK","BŁĄD")</f>
        <v>0</v>
      </c>
      <c r="M161" s="135">
        <f>IF(M106&gt;=(M107+M108+M109),"OK","BŁĄD")</f>
        <v>0</v>
      </c>
      <c r="N161" s="135">
        <f>IF(N106&gt;=(N107+N108+N109),"OK","BŁĄD")</f>
        <v>0</v>
      </c>
      <c r="O161" s="135">
        <f>IF(O106&gt;=(O107+O108+O109),"OK","BŁĄD")</f>
        <v>0</v>
      </c>
      <c r="P161" s="135">
        <f>IF(P106&gt;=(P107+P108+P109),"OK","BŁĄD")</f>
        <v>0</v>
      </c>
      <c r="Q161" s="135">
        <f>IF(Q106&gt;=(Q107+Q108+Q109),"OK","BŁĄD")</f>
        <v>0</v>
      </c>
      <c r="R161" s="135" t="e">
        <f>IF(R106&gt;=(R107+R108+R109),"OK","BŁĄD")</f>
        <v>#REF!</v>
      </c>
      <c r="S161" s="135" t="e">
        <f>IF(S106&gt;=(S107+S108+S109),"OK","BŁĄD")</f>
        <v>#REF!</v>
      </c>
      <c r="T161" s="135" t="e">
        <f>IF(T106&gt;=(T107+T108+T109),"OK","BŁĄD")</f>
        <v>#REF!</v>
      </c>
      <c r="U161" s="135" t="e">
        <f>IF(U106&gt;=(U107+U108+U109),"OK","BŁĄD")</f>
        <v>#REF!</v>
      </c>
      <c r="V161" s="135" t="e">
        <f>IF(V106&gt;=(V107+V108+V109),"OK","BŁĄD")</f>
        <v>#REF!</v>
      </c>
      <c r="W161" s="135" t="e">
        <f>IF(W106&gt;=(W107+W108+W109),"OK","BŁĄD")</f>
        <v>#REF!</v>
      </c>
      <c r="X161" s="135" t="e">
        <f>IF(X106&gt;=(X107+X108+X109),"OK","BŁĄD")</f>
        <v>#REF!</v>
      </c>
      <c r="Y161" s="135" t="e">
        <f>IF(Y106&gt;=(Y107+Y108+Y109),"OK","BŁĄD")</f>
        <v>#REF!</v>
      </c>
      <c r="Z161" s="135" t="e">
        <f>IF(Z106&gt;=(Z107+Z108+Z109),"OK","BŁĄD")</f>
        <v>#REF!</v>
      </c>
      <c r="AA161" s="135" t="e">
        <f>IF(AA106&gt;=(AA107+AA108+AA109),"OK","BŁĄD")</f>
        <v>#REF!</v>
      </c>
      <c r="AB161" s="135" t="e">
        <f>IF(AB106&gt;=(AB107+AB108+AB109),"OK","BŁĄD")</f>
        <v>#REF!</v>
      </c>
      <c r="AC161" s="135" t="e">
        <f>IF(AC106&gt;=(AC107+AC108+AC109),"OK","BŁĄD")</f>
        <v>#REF!</v>
      </c>
      <c r="AD161" s="135" t="e">
        <f>IF(AD106&gt;=(AD107+AD108+AD109),"OK","BŁĄD")</f>
        <v>#REF!</v>
      </c>
      <c r="AE161" s="135" t="e">
        <f>IF(AE106&gt;=(AE107+AE108+AE109),"OK","BŁĄD")</f>
        <v>#REF!</v>
      </c>
      <c r="AF161" s="135" t="e">
        <f>IF(AF106&gt;=(AF107+AF108+AF109),"OK","BŁĄD")</f>
        <v>#REF!</v>
      </c>
      <c r="AG161" s="135" t="e">
        <f>IF(AG106&gt;=(AG107+AG108+AG109),"OK","BŁĄD")</f>
        <v>#REF!</v>
      </c>
      <c r="AH161" s="135" t="e">
        <f>IF(AH106&gt;=(AH107+AH108+AH109),"OK","BŁĄD")</f>
        <v>#REF!</v>
      </c>
      <c r="AI161" s="135" t="e">
        <f>IF(AI106&gt;=(AI107+AI108+AI109),"OK","BŁĄD")</f>
        <v>#REF!</v>
      </c>
      <c r="AJ161" s="135" t="e">
        <f>IF(AJ106&gt;=(AJ107+AJ108+AJ109),"OK","BŁĄD")</f>
        <v>#REF!</v>
      </c>
      <c r="AK161" s="135" t="e">
        <f>IF(AK106&gt;=(AK107+AK108+AK109),"OK","BŁĄD")</f>
        <v>#REF!</v>
      </c>
      <c r="AL161" s="337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36"/>
      <c r="C162" s="129" t="s">
        <v>348</v>
      </c>
      <c r="D162" s="142" t="s">
        <v>354</v>
      </c>
      <c r="E162" s="131" t="s">
        <v>8</v>
      </c>
      <c r="F162" s="132" t="s">
        <v>8</v>
      </c>
      <c r="G162" s="132" t="s">
        <v>8</v>
      </c>
      <c r="H162" s="133" t="s">
        <v>8</v>
      </c>
      <c r="I162" s="134">
        <f>IF(I112&gt;=I113,"OK","BŁĄD")</f>
        <v>0</v>
      </c>
      <c r="J162" s="135">
        <f>IF(J112&gt;=J113,"OK","BŁĄD")</f>
        <v>0</v>
      </c>
      <c r="K162" s="135">
        <f>IF(K112&gt;=K113,"OK","BŁĄD")</f>
        <v>0</v>
      </c>
      <c r="L162" s="135">
        <f>IF(L112&gt;=L113,"OK","BŁĄD")</f>
        <v>0</v>
      </c>
      <c r="M162" s="135">
        <f>IF(M112&gt;=M113,"OK","BŁĄD")</f>
        <v>0</v>
      </c>
      <c r="N162" s="135">
        <f>IF(N112&gt;=N113,"OK","BŁĄD")</f>
        <v>0</v>
      </c>
      <c r="O162" s="135">
        <f>IF(O112&gt;=O113,"OK","BŁĄD")</f>
        <v>0</v>
      </c>
      <c r="P162" s="135">
        <f>IF(P112&gt;=P113,"OK","BŁĄD")</f>
        <v>0</v>
      </c>
      <c r="Q162" s="135">
        <f>IF(Q112&gt;=Q113,"OK","BŁĄD")</f>
        <v>0</v>
      </c>
      <c r="R162" s="135" t="e">
        <f>IF(R112&gt;=R113,"OK","BŁĄD")</f>
        <v>#REF!</v>
      </c>
      <c r="S162" s="135" t="e">
        <f>IF(S112&gt;=S113,"OK","BŁĄD")</f>
        <v>#REF!</v>
      </c>
      <c r="T162" s="135" t="e">
        <f>IF(T112&gt;=T113,"OK","BŁĄD")</f>
        <v>#REF!</v>
      </c>
      <c r="U162" s="135" t="e">
        <f>IF(U112&gt;=U113,"OK","BŁĄD")</f>
        <v>#REF!</v>
      </c>
      <c r="V162" s="135" t="e">
        <f>IF(V112&gt;=V113,"OK","BŁĄD")</f>
        <v>#REF!</v>
      </c>
      <c r="W162" s="135" t="e">
        <f>IF(W112&gt;=W113,"OK","BŁĄD")</f>
        <v>#REF!</v>
      </c>
      <c r="X162" s="135" t="e">
        <f>IF(X112&gt;=X113,"OK","BŁĄD")</f>
        <v>#REF!</v>
      </c>
      <c r="Y162" s="135" t="e">
        <f>IF(Y112&gt;=Y113,"OK","BŁĄD")</f>
        <v>#REF!</v>
      </c>
      <c r="Z162" s="135" t="e">
        <f>IF(Z112&gt;=Z113,"OK","BŁĄD")</f>
        <v>#REF!</v>
      </c>
      <c r="AA162" s="135" t="e">
        <f>IF(AA112&gt;=AA113,"OK","BŁĄD")</f>
        <v>#REF!</v>
      </c>
      <c r="AB162" s="135" t="e">
        <f>IF(AB112&gt;=AB113,"OK","BŁĄD")</f>
        <v>#REF!</v>
      </c>
      <c r="AC162" s="135" t="e">
        <f>IF(AC112&gt;=AC113,"OK","BŁĄD")</f>
        <v>#REF!</v>
      </c>
      <c r="AD162" s="135" t="e">
        <f>IF(AD112&gt;=AD113,"OK","BŁĄD")</f>
        <v>#REF!</v>
      </c>
      <c r="AE162" s="135" t="e">
        <f>IF(AE112&gt;=AE113,"OK","BŁĄD")</f>
        <v>#REF!</v>
      </c>
      <c r="AF162" s="135" t="e">
        <f>IF(AF112&gt;=AF113,"OK","BŁĄD")</f>
        <v>#REF!</v>
      </c>
      <c r="AG162" s="135" t="e">
        <f>IF(AG112&gt;=AG113,"OK","BŁĄD")</f>
        <v>#REF!</v>
      </c>
      <c r="AH162" s="135" t="e">
        <f>IF(AH112&gt;=AH113,"OK","BŁĄD")</f>
        <v>#REF!</v>
      </c>
      <c r="AI162" s="135" t="e">
        <f>IF(AI112&gt;=AI113,"OK","BŁĄD")</f>
        <v>#REF!</v>
      </c>
      <c r="AJ162" s="135" t="e">
        <f>IF(AJ112&gt;=AJ113,"OK","BŁĄD")</f>
        <v>#REF!</v>
      </c>
      <c r="AK162" s="135" t="e">
        <f>IF(AK112&gt;=AK113,"OK","BŁĄD")</f>
        <v>#REF!</v>
      </c>
      <c r="AL162" s="337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36"/>
      <c r="C163" s="129" t="s">
        <v>355</v>
      </c>
      <c r="D163" s="142" t="s">
        <v>356</v>
      </c>
      <c r="E163" s="131" t="s">
        <v>8</v>
      </c>
      <c r="F163" s="132" t="s">
        <v>8</v>
      </c>
      <c r="G163" s="132" t="s">
        <v>8</v>
      </c>
      <c r="H163" s="133" t="s">
        <v>8</v>
      </c>
      <c r="I163" s="134">
        <f>IF(I23&gt;=I24,"OK","BŁĄD")</f>
        <v>0</v>
      </c>
      <c r="J163" s="135">
        <f>IF(J23&gt;=J24,"OK","BŁĄD")</f>
        <v>0</v>
      </c>
      <c r="K163" s="135">
        <f>IF(K23&gt;=K24,"OK","BŁĄD")</f>
        <v>0</v>
      </c>
      <c r="L163" s="135">
        <f>IF(L23&gt;=L24,"OK","BŁĄD")</f>
        <v>0</v>
      </c>
      <c r="M163" s="135">
        <f>IF(M23&gt;=M24,"OK","BŁĄD")</f>
        <v>0</v>
      </c>
      <c r="N163" s="135">
        <f>IF(N23&gt;=N24,"OK","BŁĄD")</f>
        <v>0</v>
      </c>
      <c r="O163" s="135">
        <f>IF(O23&gt;=O24,"OK","BŁĄD")</f>
        <v>0</v>
      </c>
      <c r="P163" s="135">
        <f>IF(P23&gt;=P24,"OK","BŁĄD")</f>
        <v>0</v>
      </c>
      <c r="Q163" s="135">
        <f>IF(Q23&gt;=Q24,"OK","BŁĄD")</f>
        <v>0</v>
      </c>
      <c r="R163" s="135" t="e">
        <f>IF(R23&gt;=R24,"OK","BŁĄD")</f>
        <v>#REF!</v>
      </c>
      <c r="S163" s="135" t="e">
        <f>IF(S23&gt;=S24,"OK","BŁĄD")</f>
        <v>#REF!</v>
      </c>
      <c r="T163" s="135" t="e">
        <f>IF(T23&gt;=T24,"OK","BŁĄD")</f>
        <v>#REF!</v>
      </c>
      <c r="U163" s="135" t="e">
        <f>IF(U23&gt;=U24,"OK","BŁĄD")</f>
        <v>#REF!</v>
      </c>
      <c r="V163" s="135" t="e">
        <f>IF(V23&gt;=V24,"OK","BŁĄD")</f>
        <v>#REF!</v>
      </c>
      <c r="W163" s="135" t="e">
        <f>IF(W23&gt;=W24,"OK","BŁĄD")</f>
        <v>#REF!</v>
      </c>
      <c r="X163" s="135" t="e">
        <f>IF(X23&gt;=X24,"OK","BŁĄD")</f>
        <v>#REF!</v>
      </c>
      <c r="Y163" s="135" t="e">
        <f>IF(Y23&gt;=Y24,"OK","BŁĄD")</f>
        <v>#REF!</v>
      </c>
      <c r="Z163" s="135" t="e">
        <f>IF(Z23&gt;=Z24,"OK","BŁĄD")</f>
        <v>#REF!</v>
      </c>
      <c r="AA163" s="135" t="e">
        <f>IF(AA23&gt;=AA24,"OK","BŁĄD")</f>
        <v>#REF!</v>
      </c>
      <c r="AB163" s="135" t="e">
        <f>IF(AB23&gt;=AB24,"OK","BŁĄD")</f>
        <v>#REF!</v>
      </c>
      <c r="AC163" s="135" t="e">
        <f>IF(AC23&gt;=AC24,"OK","BŁĄD")</f>
        <v>#REF!</v>
      </c>
      <c r="AD163" s="135" t="e">
        <f>IF(AD23&gt;=AD24,"OK","BŁĄD")</f>
        <v>#REF!</v>
      </c>
      <c r="AE163" s="135" t="e">
        <f>IF(AE23&gt;=AE24,"OK","BŁĄD")</f>
        <v>#REF!</v>
      </c>
      <c r="AF163" s="135" t="e">
        <f>IF(AF23&gt;=AF24,"OK","BŁĄD")</f>
        <v>#REF!</v>
      </c>
      <c r="AG163" s="135" t="e">
        <f>IF(AG23&gt;=AG24,"OK","BŁĄD")</f>
        <v>#REF!</v>
      </c>
      <c r="AH163" s="135" t="e">
        <f>IF(AH23&gt;=AH24,"OK","BŁĄD")</f>
        <v>#REF!</v>
      </c>
      <c r="AI163" s="135" t="e">
        <f>IF(AI23&gt;=AI24,"OK","BŁĄD")</f>
        <v>#REF!</v>
      </c>
      <c r="AJ163" s="135" t="e">
        <f>IF(AJ23&gt;=AJ24,"OK","BŁĄD")</f>
        <v>#REF!</v>
      </c>
      <c r="AK163" s="135" t="e">
        <f>IF(AK23&gt;=AK24,"OK","BŁĄD")</f>
        <v>#REF!</v>
      </c>
      <c r="AL163" s="337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36"/>
      <c r="C164" s="129" t="s">
        <v>357</v>
      </c>
      <c r="D164" s="142" t="s">
        <v>358</v>
      </c>
      <c r="E164" s="131" t="s">
        <v>8</v>
      </c>
      <c r="F164" s="132" t="s">
        <v>8</v>
      </c>
      <c r="G164" s="132" t="s">
        <v>8</v>
      </c>
      <c r="H164" s="133" t="s">
        <v>8</v>
      </c>
      <c r="I164" s="134">
        <f>IF(I23&gt;=I109,"OK","BŁĄD")</f>
        <v>0</v>
      </c>
      <c r="J164" s="135">
        <f>IF(J23&gt;=J109,"OK","BŁĄD")</f>
        <v>0</v>
      </c>
      <c r="K164" s="135">
        <f>IF(K23&gt;=K109,"OK","BŁĄD")</f>
        <v>0</v>
      </c>
      <c r="L164" s="135">
        <f>IF(L23&gt;=L109,"OK","BŁĄD")</f>
        <v>0</v>
      </c>
      <c r="M164" s="135">
        <f>IF(M23&gt;=M109,"OK","BŁĄD")</f>
        <v>0</v>
      </c>
      <c r="N164" s="135">
        <f>IF(N23&gt;=N109,"OK","BŁĄD")</f>
        <v>0</v>
      </c>
      <c r="O164" s="135">
        <f>IF(O23&gt;=O109,"OK","BŁĄD")</f>
        <v>0</v>
      </c>
      <c r="P164" s="135">
        <f>IF(P23&gt;=P109,"OK","BŁĄD")</f>
        <v>0</v>
      </c>
      <c r="Q164" s="135">
        <f>IF(Q23&gt;=Q109,"OK","BŁĄD")</f>
        <v>0</v>
      </c>
      <c r="R164" s="135" t="e">
        <f>IF(R23&gt;=R109,"OK","BŁĄD")</f>
        <v>#REF!</v>
      </c>
      <c r="S164" s="135" t="e">
        <f>IF(S23&gt;=S109,"OK","BŁĄD")</f>
        <v>#REF!</v>
      </c>
      <c r="T164" s="135" t="e">
        <f>IF(T23&gt;=T109,"OK","BŁĄD")</f>
        <v>#REF!</v>
      </c>
      <c r="U164" s="135" t="e">
        <f>IF(U23&gt;=U109,"OK","BŁĄD")</f>
        <v>#REF!</v>
      </c>
      <c r="V164" s="135" t="e">
        <f>IF(V23&gt;=V109,"OK","BŁĄD")</f>
        <v>#REF!</v>
      </c>
      <c r="W164" s="135" t="e">
        <f>IF(W23&gt;=W109,"OK","BŁĄD")</f>
        <v>#REF!</v>
      </c>
      <c r="X164" s="135" t="e">
        <f>IF(X23&gt;=X109,"OK","BŁĄD")</f>
        <v>#REF!</v>
      </c>
      <c r="Y164" s="135" t="e">
        <f>IF(Y23&gt;=Y109,"OK","BŁĄD")</f>
        <v>#REF!</v>
      </c>
      <c r="Z164" s="135" t="e">
        <f>IF(Z23&gt;=Z109,"OK","BŁĄD")</f>
        <v>#REF!</v>
      </c>
      <c r="AA164" s="135" t="e">
        <f>IF(AA23&gt;=AA109,"OK","BŁĄD")</f>
        <v>#REF!</v>
      </c>
      <c r="AB164" s="135" t="e">
        <f>IF(AB23&gt;=AB109,"OK","BŁĄD")</f>
        <v>#REF!</v>
      </c>
      <c r="AC164" s="135" t="e">
        <f>IF(AC23&gt;=AC109,"OK","BŁĄD")</f>
        <v>#REF!</v>
      </c>
      <c r="AD164" s="135" t="e">
        <f>IF(AD23&gt;=AD109,"OK","BŁĄD")</f>
        <v>#REF!</v>
      </c>
      <c r="AE164" s="135" t="e">
        <f>IF(AE23&gt;=AE109,"OK","BŁĄD")</f>
        <v>#REF!</v>
      </c>
      <c r="AF164" s="135" t="e">
        <f>IF(AF23&gt;=AF109,"OK","BŁĄD")</f>
        <v>#REF!</v>
      </c>
      <c r="AG164" s="135" t="e">
        <f>IF(AG23&gt;=AG109,"OK","BŁĄD")</f>
        <v>#REF!</v>
      </c>
      <c r="AH164" s="135" t="e">
        <f>IF(AH23&gt;=AH109,"OK","BŁĄD")</f>
        <v>#REF!</v>
      </c>
      <c r="AI164" s="135" t="e">
        <f>IF(AI23&gt;=AI109,"OK","BŁĄD")</f>
        <v>#REF!</v>
      </c>
      <c r="AJ164" s="135" t="e">
        <f>IF(AJ23&gt;=AJ109,"OK","BŁĄD")</f>
        <v>#REF!</v>
      </c>
      <c r="AK164" s="135" t="e">
        <f>IF(AK23&gt;=AK109,"OK","BŁĄD")</f>
        <v>#REF!</v>
      </c>
      <c r="AL164" s="337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36"/>
      <c r="C165" s="129" t="s">
        <v>359</v>
      </c>
      <c r="D165" s="142" t="s">
        <v>360</v>
      </c>
      <c r="E165" s="131" t="s">
        <v>8</v>
      </c>
      <c r="F165" s="132" t="s">
        <v>8</v>
      </c>
      <c r="G165" s="132" t="s">
        <v>8</v>
      </c>
      <c r="H165" s="133" t="s">
        <v>8</v>
      </c>
      <c r="I165" s="134">
        <f>IF(I26&gt;=I27,"OK","BŁĄD")</f>
        <v>0</v>
      </c>
      <c r="J165" s="135">
        <f aca="true" t="shared" si="60" ref="J165:J166">IF(J26&gt;=J27,"OK","BŁĄD")</f>
        <v>0</v>
      </c>
      <c r="K165" s="135">
        <f aca="true" t="shared" si="61" ref="K165:K166">IF(K26&gt;=K27,"OK","BŁĄD")</f>
        <v>0</v>
      </c>
      <c r="L165" s="135">
        <f aca="true" t="shared" si="62" ref="L165:L166">IF(L26&gt;=L27,"OK","BŁĄD")</f>
        <v>0</v>
      </c>
      <c r="M165" s="135">
        <f aca="true" t="shared" si="63" ref="M165:M166">IF(M26&gt;=M27,"OK","BŁĄD")</f>
        <v>0</v>
      </c>
      <c r="N165" s="135">
        <f aca="true" t="shared" si="64" ref="N165:N166">IF(N26&gt;=N27,"OK","BŁĄD")</f>
        <v>0</v>
      </c>
      <c r="O165" s="135">
        <f aca="true" t="shared" si="65" ref="O165:O166">IF(O26&gt;=O27,"OK","BŁĄD")</f>
        <v>0</v>
      </c>
      <c r="P165" s="135">
        <f aca="true" t="shared" si="66" ref="P165:P166">IF(P26&gt;=P27,"OK","BŁĄD")</f>
        <v>0</v>
      </c>
      <c r="Q165" s="135">
        <f aca="true" t="shared" si="67" ref="Q165:Q166">IF(Q26&gt;=Q27,"OK","BŁĄD")</f>
        <v>0</v>
      </c>
      <c r="R165" s="135" t="e">
        <f aca="true" t="shared" si="68" ref="R165:R166">IF(R26&gt;=R27,"OK","BŁĄD")</f>
        <v>#REF!</v>
      </c>
      <c r="S165" s="135" t="e">
        <f aca="true" t="shared" si="69" ref="S165:S166">IF(S26&gt;=S27,"OK","BŁĄD")</f>
        <v>#REF!</v>
      </c>
      <c r="T165" s="135" t="e">
        <f aca="true" t="shared" si="70" ref="T165:T166">IF(T26&gt;=T27,"OK","BŁĄD")</f>
        <v>#REF!</v>
      </c>
      <c r="U165" s="135" t="e">
        <f aca="true" t="shared" si="71" ref="U165:U166">IF(U26&gt;=U27,"OK","BŁĄD")</f>
        <v>#REF!</v>
      </c>
      <c r="V165" s="135" t="e">
        <f aca="true" t="shared" si="72" ref="V165:V166">IF(V26&gt;=V27,"OK","BŁĄD")</f>
        <v>#REF!</v>
      </c>
      <c r="W165" s="135" t="e">
        <f aca="true" t="shared" si="73" ref="W165:W166">IF(W26&gt;=W27,"OK","BŁĄD")</f>
        <v>#REF!</v>
      </c>
      <c r="X165" s="135" t="e">
        <f aca="true" t="shared" si="74" ref="X165:X166">IF(X26&gt;=X27,"OK","BŁĄD")</f>
        <v>#REF!</v>
      </c>
      <c r="Y165" s="135" t="e">
        <f aca="true" t="shared" si="75" ref="Y165:Y166">IF(Y26&gt;=Y27,"OK","BŁĄD")</f>
        <v>#REF!</v>
      </c>
      <c r="Z165" s="135" t="e">
        <f aca="true" t="shared" si="76" ref="Z165:Z166">IF(Z26&gt;=Z27,"OK","BŁĄD")</f>
        <v>#REF!</v>
      </c>
      <c r="AA165" s="135" t="e">
        <f aca="true" t="shared" si="77" ref="AA165:AA166">IF(AA26&gt;=AA27,"OK","BŁĄD")</f>
        <v>#REF!</v>
      </c>
      <c r="AB165" s="135" t="e">
        <f aca="true" t="shared" si="78" ref="AB165:AB166">IF(AB26&gt;=AB27,"OK","BŁĄD")</f>
        <v>#REF!</v>
      </c>
      <c r="AC165" s="135" t="e">
        <f aca="true" t="shared" si="79" ref="AC165:AC166">IF(AC26&gt;=AC27,"OK","BŁĄD")</f>
        <v>#REF!</v>
      </c>
      <c r="AD165" s="135" t="e">
        <f aca="true" t="shared" si="80" ref="AD165:AD166">IF(AD26&gt;=AD27,"OK","BŁĄD")</f>
        <v>#REF!</v>
      </c>
      <c r="AE165" s="135" t="e">
        <f aca="true" t="shared" si="81" ref="AE165:AE166">IF(AE26&gt;=AE27,"OK","BŁĄD")</f>
        <v>#REF!</v>
      </c>
      <c r="AF165" s="135" t="e">
        <f aca="true" t="shared" si="82" ref="AF165:AF166">IF(AF26&gt;=AF27,"OK","BŁĄD")</f>
        <v>#REF!</v>
      </c>
      <c r="AG165" s="135" t="e">
        <f aca="true" t="shared" si="83" ref="AG165:AG166">IF(AG26&gt;=AG27,"OK","BŁĄD")</f>
        <v>#REF!</v>
      </c>
      <c r="AH165" s="135" t="e">
        <f aca="true" t="shared" si="84" ref="AH165:AH166">IF(AH26&gt;=AH27,"OK","BŁĄD")</f>
        <v>#REF!</v>
      </c>
      <c r="AI165" s="135" t="e">
        <f aca="true" t="shared" si="85" ref="AI165:AI166">IF(AI26&gt;=AI27,"OK","BŁĄD")</f>
        <v>#REF!</v>
      </c>
      <c r="AJ165" s="135" t="e">
        <f aca="true" t="shared" si="86" ref="AJ165:AJ166">IF(AJ26&gt;=AJ27,"OK","BŁĄD")</f>
        <v>#REF!</v>
      </c>
      <c r="AK165" s="135" t="e">
        <f aca="true" t="shared" si="87" ref="AK165:AK166">IF(AK26&gt;=AK27,"OK","BŁĄD")</f>
        <v>#REF!</v>
      </c>
      <c r="AL165" s="337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36"/>
      <c r="C166" s="129" t="s">
        <v>359</v>
      </c>
      <c r="D166" s="142" t="s">
        <v>361</v>
      </c>
      <c r="E166" s="131" t="s">
        <v>8</v>
      </c>
      <c r="F166" s="132" t="s">
        <v>8</v>
      </c>
      <c r="G166" s="132" t="s">
        <v>8</v>
      </c>
      <c r="H166" s="133" t="s">
        <v>8</v>
      </c>
      <c r="I166" s="134">
        <f>IF(I27&gt;=(I28+I29),"OK","BŁĄD")</f>
        <v>0</v>
      </c>
      <c r="J166" s="135">
        <f t="shared" si="60"/>
        <v>0</v>
      </c>
      <c r="K166" s="135">
        <f t="shared" si="61"/>
        <v>0</v>
      </c>
      <c r="L166" s="135">
        <f t="shared" si="62"/>
        <v>0</v>
      </c>
      <c r="M166" s="135">
        <f t="shared" si="63"/>
        <v>0</v>
      </c>
      <c r="N166" s="135">
        <f t="shared" si="64"/>
        <v>0</v>
      </c>
      <c r="O166" s="135">
        <f t="shared" si="65"/>
        <v>0</v>
      </c>
      <c r="P166" s="135">
        <f t="shared" si="66"/>
        <v>0</v>
      </c>
      <c r="Q166" s="135">
        <f t="shared" si="67"/>
        <v>0</v>
      </c>
      <c r="R166" s="135" t="e">
        <f t="shared" si="68"/>
        <v>#REF!</v>
      </c>
      <c r="S166" s="135" t="e">
        <f t="shared" si="69"/>
        <v>#REF!</v>
      </c>
      <c r="T166" s="135" t="e">
        <f t="shared" si="70"/>
        <v>#REF!</v>
      </c>
      <c r="U166" s="135" t="e">
        <f t="shared" si="71"/>
        <v>#REF!</v>
      </c>
      <c r="V166" s="135" t="e">
        <f t="shared" si="72"/>
        <v>#REF!</v>
      </c>
      <c r="W166" s="135" t="e">
        <f t="shared" si="73"/>
        <v>#REF!</v>
      </c>
      <c r="X166" s="135" t="e">
        <f t="shared" si="74"/>
        <v>#REF!</v>
      </c>
      <c r="Y166" s="135" t="e">
        <f t="shared" si="75"/>
        <v>#REF!</v>
      </c>
      <c r="Z166" s="135" t="e">
        <f t="shared" si="76"/>
        <v>#REF!</v>
      </c>
      <c r="AA166" s="135" t="e">
        <f t="shared" si="77"/>
        <v>#REF!</v>
      </c>
      <c r="AB166" s="135" t="e">
        <f t="shared" si="78"/>
        <v>#REF!</v>
      </c>
      <c r="AC166" s="135" t="e">
        <f t="shared" si="79"/>
        <v>#REF!</v>
      </c>
      <c r="AD166" s="135" t="e">
        <f t="shared" si="80"/>
        <v>#REF!</v>
      </c>
      <c r="AE166" s="135" t="e">
        <f t="shared" si="81"/>
        <v>#REF!</v>
      </c>
      <c r="AF166" s="135" t="e">
        <f t="shared" si="82"/>
        <v>#REF!</v>
      </c>
      <c r="AG166" s="135" t="e">
        <f t="shared" si="83"/>
        <v>#REF!</v>
      </c>
      <c r="AH166" s="135" t="e">
        <f t="shared" si="84"/>
        <v>#REF!</v>
      </c>
      <c r="AI166" s="135" t="e">
        <f t="shared" si="85"/>
        <v>#REF!</v>
      </c>
      <c r="AJ166" s="135" t="e">
        <f t="shared" si="86"/>
        <v>#REF!</v>
      </c>
      <c r="AK166" s="135" t="e">
        <f t="shared" si="87"/>
        <v>#REF!</v>
      </c>
      <c r="AL166" s="337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36"/>
      <c r="C167" s="129" t="s">
        <v>362</v>
      </c>
      <c r="D167" s="142" t="s">
        <v>363</v>
      </c>
      <c r="E167" s="131" t="s">
        <v>8</v>
      </c>
      <c r="F167" s="132" t="s">
        <v>8</v>
      </c>
      <c r="G167" s="132" t="s">
        <v>8</v>
      </c>
      <c r="H167" s="133" t="s">
        <v>8</v>
      </c>
      <c r="I167" s="134">
        <f>IF(I22&gt;=(I23+I25+I26),"OK","BŁĄD")</f>
        <v>0</v>
      </c>
      <c r="J167" s="135">
        <f>IF(J22&gt;=(J23+J25+J26),"OK","BŁĄD")</f>
        <v>0</v>
      </c>
      <c r="K167" s="135">
        <f>IF(K22&gt;=(K23+K25+K26),"OK","BŁĄD")</f>
        <v>0</v>
      </c>
      <c r="L167" s="135">
        <f>IF(L22&gt;=(L23+L25+L26),"OK","BŁĄD")</f>
        <v>0</v>
      </c>
      <c r="M167" s="135">
        <f>IF(M22&gt;=(M23+M25+M26),"OK","BŁĄD")</f>
        <v>0</v>
      </c>
      <c r="N167" s="135">
        <f>IF(N22&gt;=(N23+N25+N26),"OK","BŁĄD")</f>
        <v>0</v>
      </c>
      <c r="O167" s="135">
        <f>IF(O22&gt;=(O23+O25+O26),"OK","BŁĄD")</f>
        <v>0</v>
      </c>
      <c r="P167" s="135">
        <f>IF(P22&gt;=(P23+P25+P26),"OK","BŁĄD")</f>
        <v>0</v>
      </c>
      <c r="Q167" s="135">
        <f>IF(Q22&gt;=(Q23+Q25+Q26),"OK","BŁĄD")</f>
        <v>0</v>
      </c>
      <c r="R167" s="135" t="e">
        <f>IF(R22&gt;=(R23+R25+R26),"OK","BŁĄD")</f>
        <v>#REF!</v>
      </c>
      <c r="S167" s="135" t="e">
        <f>IF(S22&gt;=(S23+S25+S26),"OK","BŁĄD")</f>
        <v>#REF!</v>
      </c>
      <c r="T167" s="135" t="e">
        <f>IF(T22&gt;=(T23+T25+T26),"OK","BŁĄD")</f>
        <v>#REF!</v>
      </c>
      <c r="U167" s="135" t="e">
        <f>IF(U22&gt;=(U23+U25+U26),"OK","BŁĄD")</f>
        <v>#REF!</v>
      </c>
      <c r="V167" s="135" t="e">
        <f>IF(V22&gt;=(V23+V25+V26),"OK","BŁĄD")</f>
        <v>#REF!</v>
      </c>
      <c r="W167" s="135" t="e">
        <f>IF(W22&gt;=(W23+W25+W26),"OK","BŁĄD")</f>
        <v>#REF!</v>
      </c>
      <c r="X167" s="135" t="e">
        <f>IF(X22&gt;=(X23+X25+X26),"OK","BŁĄD")</f>
        <v>#REF!</v>
      </c>
      <c r="Y167" s="135" t="e">
        <f>IF(Y22&gt;=(Y23+Y25+Y26),"OK","BŁĄD")</f>
        <v>#REF!</v>
      </c>
      <c r="Z167" s="135" t="e">
        <f>IF(Z22&gt;=(Z23+Z25+Z26),"OK","BŁĄD")</f>
        <v>#REF!</v>
      </c>
      <c r="AA167" s="135" t="e">
        <f>IF(AA22&gt;=(AA23+AA25+AA26),"OK","BŁĄD")</f>
        <v>#REF!</v>
      </c>
      <c r="AB167" s="135" t="e">
        <f>IF(AB22&gt;=(AB23+AB25+AB26),"OK","BŁĄD")</f>
        <v>#REF!</v>
      </c>
      <c r="AC167" s="135" t="e">
        <f>IF(AC22&gt;=(AC23+AC25+AC26),"OK","BŁĄD")</f>
        <v>#REF!</v>
      </c>
      <c r="AD167" s="135" t="e">
        <f>IF(AD22&gt;=(AD23+AD25+AD26),"OK","BŁĄD")</f>
        <v>#REF!</v>
      </c>
      <c r="AE167" s="135" t="e">
        <f>IF(AE22&gt;=(AE23+AE25+AE26),"OK","BŁĄD")</f>
        <v>#REF!</v>
      </c>
      <c r="AF167" s="135" t="e">
        <f>IF(AF22&gt;=(AF23+AF25+AF26),"OK","BŁĄD")</f>
        <v>#REF!</v>
      </c>
      <c r="AG167" s="135" t="e">
        <f>IF(AG22&gt;=(AG23+AG25+AG26),"OK","BŁĄD")</f>
        <v>#REF!</v>
      </c>
      <c r="AH167" s="135" t="e">
        <f>IF(AH22&gt;=(AH23+AH25+AH26),"OK","BŁĄD")</f>
        <v>#REF!</v>
      </c>
      <c r="AI167" s="135" t="e">
        <f>IF(AI22&gt;=(AI23+AI25+AI26),"OK","BŁĄD")</f>
        <v>#REF!</v>
      </c>
      <c r="AJ167" s="135" t="e">
        <f>IF(AJ22&gt;=(AJ23+AJ25+AJ26),"OK","BŁĄD")</f>
        <v>#REF!</v>
      </c>
      <c r="AK167" s="135" t="e">
        <f>IF(AK22&gt;=(AK23+AK25+AK26),"OK","BŁĄD")</f>
        <v>#REF!</v>
      </c>
      <c r="AL167" s="337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36"/>
      <c r="C168" s="129" t="s">
        <v>364</v>
      </c>
      <c r="D168" s="142" t="s">
        <v>365</v>
      </c>
      <c r="E168" s="131" t="s">
        <v>8</v>
      </c>
      <c r="F168" s="132" t="s">
        <v>8</v>
      </c>
      <c r="G168" s="132" t="s">
        <v>8</v>
      </c>
      <c r="H168" s="133" t="s">
        <v>8</v>
      </c>
      <c r="I168" s="134">
        <f>IF(I22&gt;=I66,"OK","BŁĄD")</f>
        <v>0</v>
      </c>
      <c r="J168" s="135">
        <f>IF(J22&gt;=J66,"OK","BŁĄD")</f>
        <v>0</v>
      </c>
      <c r="K168" s="135">
        <f>IF(K22&gt;=K66,"OK","BŁĄD")</f>
        <v>0</v>
      </c>
      <c r="L168" s="135">
        <f>IF(L22&gt;=L66,"OK","BŁĄD")</f>
        <v>0</v>
      </c>
      <c r="M168" s="135">
        <f>IF(M22&gt;=M66,"OK","BŁĄD")</f>
        <v>0</v>
      </c>
      <c r="N168" s="135">
        <f>IF(N22&gt;=N66,"OK","BŁĄD")</f>
        <v>0</v>
      </c>
      <c r="O168" s="135">
        <f>IF(O22&gt;=O66,"OK","BŁĄD")</f>
        <v>0</v>
      </c>
      <c r="P168" s="135">
        <f>IF(P22&gt;=P66,"OK","BŁĄD")</f>
        <v>0</v>
      </c>
      <c r="Q168" s="135">
        <f>IF(Q22&gt;=Q66,"OK","BŁĄD")</f>
        <v>0</v>
      </c>
      <c r="R168" s="135" t="e">
        <f>IF(R22&gt;=R66,"OK","BŁĄD")</f>
        <v>#REF!</v>
      </c>
      <c r="S168" s="135" t="e">
        <f>IF(S22&gt;=S66,"OK","BŁĄD")</f>
        <v>#REF!</v>
      </c>
      <c r="T168" s="135" t="e">
        <f>IF(T22&gt;=T66,"OK","BŁĄD")</f>
        <v>#REF!</v>
      </c>
      <c r="U168" s="135" t="e">
        <f>IF(U22&gt;=U66,"OK","BŁĄD")</f>
        <v>#REF!</v>
      </c>
      <c r="V168" s="135" t="e">
        <f>IF(V22&gt;=V66,"OK","BŁĄD")</f>
        <v>#REF!</v>
      </c>
      <c r="W168" s="135" t="e">
        <f>IF(W22&gt;=W66,"OK","BŁĄD")</f>
        <v>#REF!</v>
      </c>
      <c r="X168" s="135" t="e">
        <f>IF(X22&gt;=X66,"OK","BŁĄD")</f>
        <v>#REF!</v>
      </c>
      <c r="Y168" s="135" t="e">
        <f>IF(Y22&gt;=Y66,"OK","BŁĄD")</f>
        <v>#REF!</v>
      </c>
      <c r="Z168" s="135" t="e">
        <f>IF(Z22&gt;=Z66,"OK","BŁĄD")</f>
        <v>#REF!</v>
      </c>
      <c r="AA168" s="135" t="e">
        <f>IF(AA22&gt;=AA66,"OK","BŁĄD")</f>
        <v>#REF!</v>
      </c>
      <c r="AB168" s="135" t="e">
        <f>IF(AB22&gt;=AB66,"OK","BŁĄD")</f>
        <v>#REF!</v>
      </c>
      <c r="AC168" s="135" t="e">
        <f>IF(AC22&gt;=AC66,"OK","BŁĄD")</f>
        <v>#REF!</v>
      </c>
      <c r="AD168" s="135" t="e">
        <f>IF(AD22&gt;=AD66,"OK","BŁĄD")</f>
        <v>#REF!</v>
      </c>
      <c r="AE168" s="135" t="e">
        <f>IF(AE22&gt;=AE66,"OK","BŁĄD")</f>
        <v>#REF!</v>
      </c>
      <c r="AF168" s="135" t="e">
        <f>IF(AF22&gt;=AF66,"OK","BŁĄD")</f>
        <v>#REF!</v>
      </c>
      <c r="AG168" s="135" t="e">
        <f>IF(AG22&gt;=AG66,"OK","BŁĄD")</f>
        <v>#REF!</v>
      </c>
      <c r="AH168" s="135" t="e">
        <f>IF(AH22&gt;=AH66,"OK","BŁĄD")</f>
        <v>#REF!</v>
      </c>
      <c r="AI168" s="135" t="e">
        <f>IF(AI22&gt;=AI66,"OK","BŁĄD")</f>
        <v>#REF!</v>
      </c>
      <c r="AJ168" s="135" t="e">
        <f>IF(AJ22&gt;=AJ66,"OK","BŁĄD")</f>
        <v>#REF!</v>
      </c>
      <c r="AK168" s="135" t="e">
        <f>IF(AK22&gt;=AK66,"OK","BŁĄD")</f>
        <v>#REF!</v>
      </c>
      <c r="AL168" s="337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36"/>
      <c r="C169" s="129" t="s">
        <v>366</v>
      </c>
      <c r="D169" s="142" t="s">
        <v>367</v>
      </c>
      <c r="E169" s="131" t="s">
        <v>8</v>
      </c>
      <c r="F169" s="132" t="s">
        <v>8</v>
      </c>
      <c r="G169" s="132" t="s">
        <v>8</v>
      </c>
      <c r="H169" s="133" t="s">
        <v>8</v>
      </c>
      <c r="I169" s="134">
        <f>IF(I22&gt;=I69,"OK","BŁĄD")</f>
        <v>0</v>
      </c>
      <c r="J169" s="135">
        <f>IF(J22&gt;=J69,"OK","BŁĄD")</f>
        <v>0</v>
      </c>
      <c r="K169" s="135">
        <f>IF(K22&gt;=K69,"OK","BŁĄD")</f>
        <v>0</v>
      </c>
      <c r="L169" s="135">
        <f>IF(L22&gt;=L69,"OK","BŁĄD")</f>
        <v>0</v>
      </c>
      <c r="M169" s="135">
        <f>IF(M22&gt;=M69,"OK","BŁĄD")</f>
        <v>0</v>
      </c>
      <c r="N169" s="135">
        <f>IF(N22&gt;=N69,"OK","BŁĄD")</f>
        <v>0</v>
      </c>
      <c r="O169" s="135">
        <f>IF(O22&gt;=O69,"OK","BŁĄD")</f>
        <v>0</v>
      </c>
      <c r="P169" s="135">
        <f>IF(P22&gt;=P69,"OK","BŁĄD")</f>
        <v>0</v>
      </c>
      <c r="Q169" s="135">
        <f>IF(Q22&gt;=Q69,"OK","BŁĄD")</f>
        <v>0</v>
      </c>
      <c r="R169" s="135" t="e">
        <f>IF(R22&gt;=R69,"OK","BŁĄD")</f>
        <v>#REF!</v>
      </c>
      <c r="S169" s="135" t="e">
        <f>IF(S22&gt;=S69,"OK","BŁĄD")</f>
        <v>#REF!</v>
      </c>
      <c r="T169" s="135" t="e">
        <f>IF(T22&gt;=T69,"OK","BŁĄD")</f>
        <v>#REF!</v>
      </c>
      <c r="U169" s="135" t="e">
        <f>IF(U22&gt;=U69,"OK","BŁĄD")</f>
        <v>#REF!</v>
      </c>
      <c r="V169" s="135" t="e">
        <f>IF(V22&gt;=V69,"OK","BŁĄD")</f>
        <v>#REF!</v>
      </c>
      <c r="W169" s="135" t="e">
        <f>IF(W22&gt;=W69,"OK","BŁĄD")</f>
        <v>#REF!</v>
      </c>
      <c r="X169" s="135" t="e">
        <f>IF(X22&gt;=X69,"OK","BŁĄD")</f>
        <v>#REF!</v>
      </c>
      <c r="Y169" s="135" t="e">
        <f>IF(Y22&gt;=Y69,"OK","BŁĄD")</f>
        <v>#REF!</v>
      </c>
      <c r="Z169" s="135" t="e">
        <f>IF(Z22&gt;=Z69,"OK","BŁĄD")</f>
        <v>#REF!</v>
      </c>
      <c r="AA169" s="135" t="e">
        <f>IF(AA22&gt;=AA69,"OK","BŁĄD")</f>
        <v>#REF!</v>
      </c>
      <c r="AB169" s="135" t="e">
        <f>IF(AB22&gt;=AB69,"OK","BŁĄD")</f>
        <v>#REF!</v>
      </c>
      <c r="AC169" s="135" t="e">
        <f>IF(AC22&gt;=AC69,"OK","BŁĄD")</f>
        <v>#REF!</v>
      </c>
      <c r="AD169" s="135" t="e">
        <f>IF(AD22&gt;=AD69,"OK","BŁĄD")</f>
        <v>#REF!</v>
      </c>
      <c r="AE169" s="135" t="e">
        <f>IF(AE22&gt;=AE69,"OK","BŁĄD")</f>
        <v>#REF!</v>
      </c>
      <c r="AF169" s="135" t="e">
        <f>IF(AF22&gt;=AF69,"OK","BŁĄD")</f>
        <v>#REF!</v>
      </c>
      <c r="AG169" s="135" t="e">
        <f>IF(AG22&gt;=AG69,"OK","BŁĄD")</f>
        <v>#REF!</v>
      </c>
      <c r="AH169" s="135" t="e">
        <f>IF(AH22&gt;=AH69,"OK","BŁĄD")</f>
        <v>#REF!</v>
      </c>
      <c r="AI169" s="135" t="e">
        <f>IF(AI22&gt;=AI69,"OK","BŁĄD")</f>
        <v>#REF!</v>
      </c>
      <c r="AJ169" s="135" t="e">
        <f>IF(AJ22&gt;=AJ69,"OK","BŁĄD")</f>
        <v>#REF!</v>
      </c>
      <c r="AK169" s="135" t="e">
        <f>IF(AK22&gt;=AK69,"OK","BŁĄD")</f>
        <v>#REF!</v>
      </c>
      <c r="AL169" s="337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36"/>
      <c r="C170" s="129" t="s">
        <v>368</v>
      </c>
      <c r="D170" s="142" t="s">
        <v>369</v>
      </c>
      <c r="E170" s="131" t="s">
        <v>8</v>
      </c>
      <c r="F170" s="132" t="s">
        <v>8</v>
      </c>
      <c r="G170" s="132" t="s">
        <v>8</v>
      </c>
      <c r="H170" s="133" t="s">
        <v>8</v>
      </c>
      <c r="I170" s="134">
        <f>IF(I22&gt;=I81,"OK","BŁĄD")</f>
        <v>0</v>
      </c>
      <c r="J170" s="135">
        <f>IF(J22&gt;=J81,"OK","BŁĄD")</f>
        <v>0</v>
      </c>
      <c r="K170" s="135">
        <f>IF(K22&gt;=K81,"OK","BŁĄD")</f>
        <v>0</v>
      </c>
      <c r="L170" s="135">
        <f>IF(L22&gt;=L81,"OK","BŁĄD")</f>
        <v>0</v>
      </c>
      <c r="M170" s="135">
        <f>IF(M22&gt;=M81,"OK","BŁĄD")</f>
        <v>0</v>
      </c>
      <c r="N170" s="135">
        <f>IF(N22&gt;=N81,"OK","BŁĄD")</f>
        <v>0</v>
      </c>
      <c r="O170" s="135">
        <f>IF(O22&gt;=O81,"OK","BŁĄD")</f>
        <v>0</v>
      </c>
      <c r="P170" s="135">
        <f>IF(P22&gt;=P81,"OK","BŁĄD")</f>
        <v>0</v>
      </c>
      <c r="Q170" s="135">
        <f>IF(Q22&gt;=Q81,"OK","BŁĄD")</f>
        <v>0</v>
      </c>
      <c r="R170" s="135" t="e">
        <f>IF(R22&gt;=R81,"OK","BŁĄD")</f>
        <v>#REF!</v>
      </c>
      <c r="S170" s="135" t="e">
        <f>IF(S22&gt;=S81,"OK","BŁĄD")</f>
        <v>#REF!</v>
      </c>
      <c r="T170" s="135" t="e">
        <f>IF(T22&gt;=T81,"OK","BŁĄD")</f>
        <v>#REF!</v>
      </c>
      <c r="U170" s="135" t="e">
        <f>IF(U22&gt;=U81,"OK","BŁĄD")</f>
        <v>#REF!</v>
      </c>
      <c r="V170" s="135" t="e">
        <f>IF(V22&gt;=V81,"OK","BŁĄD")</f>
        <v>#REF!</v>
      </c>
      <c r="W170" s="135" t="e">
        <f>IF(W22&gt;=W81,"OK","BŁĄD")</f>
        <v>#REF!</v>
      </c>
      <c r="X170" s="135" t="e">
        <f>IF(X22&gt;=X81,"OK","BŁĄD")</f>
        <v>#REF!</v>
      </c>
      <c r="Y170" s="135" t="e">
        <f>IF(Y22&gt;=Y81,"OK","BŁĄD")</f>
        <v>#REF!</v>
      </c>
      <c r="Z170" s="135" t="e">
        <f>IF(Z22&gt;=Z81,"OK","BŁĄD")</f>
        <v>#REF!</v>
      </c>
      <c r="AA170" s="135" t="e">
        <f>IF(AA22&gt;=AA81,"OK","BŁĄD")</f>
        <v>#REF!</v>
      </c>
      <c r="AB170" s="135" t="e">
        <f>IF(AB22&gt;=AB81,"OK","BŁĄD")</f>
        <v>#REF!</v>
      </c>
      <c r="AC170" s="135" t="e">
        <f>IF(AC22&gt;=AC81,"OK","BŁĄD")</f>
        <v>#REF!</v>
      </c>
      <c r="AD170" s="135" t="e">
        <f>IF(AD22&gt;=AD81,"OK","BŁĄD")</f>
        <v>#REF!</v>
      </c>
      <c r="AE170" s="135" t="e">
        <f>IF(AE22&gt;=AE81,"OK","BŁĄD")</f>
        <v>#REF!</v>
      </c>
      <c r="AF170" s="135" t="e">
        <f>IF(AF22&gt;=AF81,"OK","BŁĄD")</f>
        <v>#REF!</v>
      </c>
      <c r="AG170" s="135" t="e">
        <f>IF(AG22&gt;=AG81,"OK","BŁĄD")</f>
        <v>#REF!</v>
      </c>
      <c r="AH170" s="135" t="e">
        <f>IF(AH22&gt;=AH81,"OK","BŁĄD")</f>
        <v>#REF!</v>
      </c>
      <c r="AI170" s="135" t="e">
        <f>IF(AI22&gt;=AI81,"OK","BŁĄD")</f>
        <v>#REF!</v>
      </c>
      <c r="AJ170" s="135" t="e">
        <f>IF(AJ22&gt;=AJ81,"OK","BŁĄD")</f>
        <v>#REF!</v>
      </c>
      <c r="AK170" s="135" t="e">
        <f>IF(AK22&gt;=AK81,"OK","BŁĄD")</f>
        <v>#REF!</v>
      </c>
      <c r="AL170" s="337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36"/>
      <c r="C171" s="129" t="s">
        <v>370</v>
      </c>
      <c r="D171" s="142" t="s">
        <v>371</v>
      </c>
      <c r="E171" s="131" t="s">
        <v>8</v>
      </c>
      <c r="F171" s="132" t="s">
        <v>8</v>
      </c>
      <c r="G171" s="132" t="s">
        <v>8</v>
      </c>
      <c r="H171" s="133" t="s">
        <v>8</v>
      </c>
      <c r="I171" s="134">
        <f>IF(I22&gt;=I102,"OK","BŁĄD")</f>
        <v>0</v>
      </c>
      <c r="J171" s="135">
        <f>IF(J22&gt;=J102,"OK","BŁĄD")</f>
        <v>0</v>
      </c>
      <c r="K171" s="135">
        <f>IF(K22&gt;=K102,"OK","BŁĄD")</f>
        <v>0</v>
      </c>
      <c r="L171" s="135">
        <f>IF(L22&gt;=L102,"OK","BŁĄD")</f>
        <v>0</v>
      </c>
      <c r="M171" s="135">
        <f>IF(M22&gt;=M102,"OK","BŁĄD")</f>
        <v>0</v>
      </c>
      <c r="N171" s="135">
        <f>IF(N22&gt;=N102,"OK","BŁĄD")</f>
        <v>0</v>
      </c>
      <c r="O171" s="135">
        <f>IF(O22&gt;=O102,"OK","BŁĄD")</f>
        <v>0</v>
      </c>
      <c r="P171" s="135">
        <f>IF(P22&gt;=P102,"OK","BŁĄD")</f>
        <v>0</v>
      </c>
      <c r="Q171" s="135">
        <f>IF(Q22&gt;=Q102,"OK","BŁĄD")</f>
        <v>0</v>
      </c>
      <c r="R171" s="135" t="e">
        <f>IF(R22&gt;=R102,"OK","BŁĄD")</f>
        <v>#REF!</v>
      </c>
      <c r="S171" s="135" t="e">
        <f>IF(S22&gt;=S102,"OK","BŁĄD")</f>
        <v>#REF!</v>
      </c>
      <c r="T171" s="135" t="e">
        <f>IF(T22&gt;=T102,"OK","BŁĄD")</f>
        <v>#REF!</v>
      </c>
      <c r="U171" s="135" t="e">
        <f>IF(U22&gt;=U102,"OK","BŁĄD")</f>
        <v>#REF!</v>
      </c>
      <c r="V171" s="135" t="e">
        <f>IF(V22&gt;=V102,"OK","BŁĄD")</f>
        <v>#REF!</v>
      </c>
      <c r="W171" s="135" t="e">
        <f>IF(W22&gt;=W102,"OK","BŁĄD")</f>
        <v>#REF!</v>
      </c>
      <c r="X171" s="135" t="e">
        <f>IF(X22&gt;=X102,"OK","BŁĄD")</f>
        <v>#REF!</v>
      </c>
      <c r="Y171" s="135" t="e">
        <f>IF(Y22&gt;=Y102,"OK","BŁĄD")</f>
        <v>#REF!</v>
      </c>
      <c r="Z171" s="135" t="e">
        <f>IF(Z22&gt;=Z102,"OK","BŁĄD")</f>
        <v>#REF!</v>
      </c>
      <c r="AA171" s="135" t="e">
        <f>IF(AA22&gt;=AA102,"OK","BŁĄD")</f>
        <v>#REF!</v>
      </c>
      <c r="AB171" s="135" t="e">
        <f>IF(AB22&gt;=AB102,"OK","BŁĄD")</f>
        <v>#REF!</v>
      </c>
      <c r="AC171" s="135" t="e">
        <f>IF(AC22&gt;=AC102,"OK","BŁĄD")</f>
        <v>#REF!</v>
      </c>
      <c r="AD171" s="135" t="e">
        <f>IF(AD22&gt;=AD102,"OK","BŁĄD")</f>
        <v>#REF!</v>
      </c>
      <c r="AE171" s="135" t="e">
        <f>IF(AE22&gt;=AE102,"OK","BŁĄD")</f>
        <v>#REF!</v>
      </c>
      <c r="AF171" s="135" t="e">
        <f>IF(AF22&gt;=AF102,"OK","BŁĄD")</f>
        <v>#REF!</v>
      </c>
      <c r="AG171" s="135" t="e">
        <f>IF(AG22&gt;=AG102,"OK","BŁĄD")</f>
        <v>#REF!</v>
      </c>
      <c r="AH171" s="135" t="e">
        <f>IF(AH22&gt;=AH102,"OK","BŁĄD")</f>
        <v>#REF!</v>
      </c>
      <c r="AI171" s="135" t="e">
        <f>IF(AI22&gt;=AI102,"OK","BŁĄD")</f>
        <v>#REF!</v>
      </c>
      <c r="AJ171" s="135" t="e">
        <f>IF(AJ22&gt;=AJ102,"OK","BŁĄD")</f>
        <v>#REF!</v>
      </c>
      <c r="AK171" s="135" t="e">
        <f>IF(AK22&gt;=AK102,"OK","BŁĄD")</f>
        <v>#REF!</v>
      </c>
      <c r="AL171" s="337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36"/>
      <c r="C172" s="129" t="s">
        <v>372</v>
      </c>
      <c r="D172" s="142" t="s">
        <v>373</v>
      </c>
      <c r="E172" s="131" t="s">
        <v>8</v>
      </c>
      <c r="F172" s="132" t="s">
        <v>8</v>
      </c>
      <c r="G172" s="132" t="s">
        <v>8</v>
      </c>
      <c r="H172" s="133" t="s">
        <v>8</v>
      </c>
      <c r="I172" s="134">
        <f>IF(I30&gt;=I70,"OK","BŁĄD")</f>
        <v>0</v>
      </c>
      <c r="J172" s="135">
        <f>IF(J30&gt;=J70,"OK","BŁĄD")</f>
        <v>0</v>
      </c>
      <c r="K172" s="135">
        <f>IF(K30&gt;=K70,"OK","BŁĄD")</f>
        <v>0</v>
      </c>
      <c r="L172" s="135">
        <f>IF(L30&gt;=L70,"OK","BŁĄD")</f>
        <v>0</v>
      </c>
      <c r="M172" s="135">
        <f>IF(M30&gt;=M70,"OK","BŁĄD")</f>
        <v>0</v>
      </c>
      <c r="N172" s="135">
        <f>IF(N30&gt;=N70,"OK","BŁĄD")</f>
        <v>0</v>
      </c>
      <c r="O172" s="135">
        <f>IF(O30&gt;=O70,"OK","BŁĄD")</f>
        <v>0</v>
      </c>
      <c r="P172" s="135">
        <f>IF(P30&gt;=P70,"OK","BŁĄD")</f>
        <v>0</v>
      </c>
      <c r="Q172" s="135">
        <f>IF(Q30&gt;=Q70,"OK","BŁĄD")</f>
        <v>0</v>
      </c>
      <c r="R172" s="135" t="e">
        <f>IF(R30&gt;=R70,"OK","BŁĄD")</f>
        <v>#REF!</v>
      </c>
      <c r="S172" s="135" t="e">
        <f>IF(S30&gt;=S70,"OK","BŁĄD")</f>
        <v>#REF!</v>
      </c>
      <c r="T172" s="135" t="e">
        <f>IF(T30&gt;=T70,"OK","BŁĄD")</f>
        <v>#REF!</v>
      </c>
      <c r="U172" s="135" t="e">
        <f>IF(U30&gt;=U70,"OK","BŁĄD")</f>
        <v>#REF!</v>
      </c>
      <c r="V172" s="135" t="e">
        <f>IF(V30&gt;=V70,"OK","BŁĄD")</f>
        <v>#REF!</v>
      </c>
      <c r="W172" s="135" t="e">
        <f>IF(W30&gt;=W70,"OK","BŁĄD")</f>
        <v>#REF!</v>
      </c>
      <c r="X172" s="135" t="e">
        <f>IF(X30&gt;=X70,"OK","BŁĄD")</f>
        <v>#REF!</v>
      </c>
      <c r="Y172" s="135" t="e">
        <f>IF(Y30&gt;=Y70,"OK","BŁĄD")</f>
        <v>#REF!</v>
      </c>
      <c r="Z172" s="135" t="e">
        <f>IF(Z30&gt;=Z70,"OK","BŁĄD")</f>
        <v>#REF!</v>
      </c>
      <c r="AA172" s="135" t="e">
        <f>IF(AA30&gt;=AA70,"OK","BŁĄD")</f>
        <v>#REF!</v>
      </c>
      <c r="AB172" s="135" t="e">
        <f>IF(AB30&gt;=AB70,"OK","BŁĄD")</f>
        <v>#REF!</v>
      </c>
      <c r="AC172" s="135" t="e">
        <f>IF(AC30&gt;=AC70,"OK","BŁĄD")</f>
        <v>#REF!</v>
      </c>
      <c r="AD172" s="135" t="e">
        <f>IF(AD30&gt;=AD70,"OK","BŁĄD")</f>
        <v>#REF!</v>
      </c>
      <c r="AE172" s="135" t="e">
        <f>IF(AE30&gt;=AE70,"OK","BŁĄD")</f>
        <v>#REF!</v>
      </c>
      <c r="AF172" s="135" t="e">
        <f>IF(AF30&gt;=AF70,"OK","BŁĄD")</f>
        <v>#REF!</v>
      </c>
      <c r="AG172" s="135" t="e">
        <f>IF(AG30&gt;=AG70,"OK","BŁĄD")</f>
        <v>#REF!</v>
      </c>
      <c r="AH172" s="135" t="e">
        <f>IF(AH30&gt;=AH70,"OK","BŁĄD")</f>
        <v>#REF!</v>
      </c>
      <c r="AI172" s="135" t="e">
        <f>IF(AI30&gt;=AI70,"OK","BŁĄD")</f>
        <v>#REF!</v>
      </c>
      <c r="AJ172" s="135" t="e">
        <f>IF(AJ30&gt;=AJ70,"OK","BŁĄD")</f>
        <v>#REF!</v>
      </c>
      <c r="AK172" s="135" t="e">
        <f>IF(AK30&gt;=AK70,"OK","BŁĄD")</f>
        <v>#REF!</v>
      </c>
      <c r="AL172" s="337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36"/>
      <c r="C173" s="129" t="s">
        <v>374</v>
      </c>
      <c r="D173" s="142" t="s">
        <v>375</v>
      </c>
      <c r="E173" s="131" t="s">
        <v>8</v>
      </c>
      <c r="F173" s="132" t="s">
        <v>8</v>
      </c>
      <c r="G173" s="132" t="s">
        <v>8</v>
      </c>
      <c r="H173" s="133" t="s">
        <v>8</v>
      </c>
      <c r="I173" s="134">
        <f>IF(I30&gt;=I71+I72,"OK","BŁĄD")</f>
        <v>0</v>
      </c>
      <c r="J173" s="135">
        <f>IF(J30&gt;=J71+J72,"OK","BŁĄD")</f>
        <v>0</v>
      </c>
      <c r="K173" s="135">
        <f>IF(K30&gt;=K71+K72,"OK","BŁĄD")</f>
        <v>0</v>
      </c>
      <c r="L173" s="135">
        <f>IF(L30&gt;=L71+L72,"OK","BŁĄD")</f>
        <v>0</v>
      </c>
      <c r="M173" s="135">
        <f>IF(M30&gt;=M71+M72,"OK","BŁĄD")</f>
        <v>0</v>
      </c>
      <c r="N173" s="135">
        <f>IF(N30&gt;=N71+N72,"OK","BŁĄD")</f>
        <v>0</v>
      </c>
      <c r="O173" s="135">
        <f>IF(O30&gt;=O71+O72,"OK","BŁĄD")</f>
        <v>0</v>
      </c>
      <c r="P173" s="135">
        <f>IF(P30&gt;=P71+P72,"OK","BŁĄD")</f>
        <v>0</v>
      </c>
      <c r="Q173" s="135">
        <f>IF(Q30&gt;=Q71+Q72,"OK","BŁĄD")</f>
        <v>0</v>
      </c>
      <c r="R173" s="135" t="e">
        <f>IF(R30&gt;=R71+R72,"OK","BŁĄD")</f>
        <v>#REF!</v>
      </c>
      <c r="S173" s="135" t="e">
        <f>IF(S30&gt;=S71+S72,"OK","BŁĄD")</f>
        <v>#REF!</v>
      </c>
      <c r="T173" s="135" t="e">
        <f>IF(T30&gt;=T71+T72,"OK","BŁĄD")</f>
        <v>#REF!</v>
      </c>
      <c r="U173" s="135" t="e">
        <f>IF(U30&gt;=U71+U72,"OK","BŁĄD")</f>
        <v>#REF!</v>
      </c>
      <c r="V173" s="135" t="e">
        <f>IF(V30&gt;=V71+V72,"OK","BŁĄD")</f>
        <v>#REF!</v>
      </c>
      <c r="W173" s="135" t="e">
        <f>IF(W30&gt;=W71+W72,"OK","BŁĄD")</f>
        <v>#REF!</v>
      </c>
      <c r="X173" s="135" t="e">
        <f>IF(X30&gt;=X71+X72,"OK","BŁĄD")</f>
        <v>#REF!</v>
      </c>
      <c r="Y173" s="135" t="e">
        <f>IF(Y30&gt;=Y71+Y72,"OK","BŁĄD")</f>
        <v>#REF!</v>
      </c>
      <c r="Z173" s="135" t="e">
        <f>IF(Z30&gt;=Z71+Z72,"OK","BŁĄD")</f>
        <v>#REF!</v>
      </c>
      <c r="AA173" s="135" t="e">
        <f>IF(AA30&gt;=AA71+AA72,"OK","BŁĄD")</f>
        <v>#REF!</v>
      </c>
      <c r="AB173" s="135" t="e">
        <f>IF(AB30&gt;=AB71+AB72,"OK","BŁĄD")</f>
        <v>#REF!</v>
      </c>
      <c r="AC173" s="135" t="e">
        <f>IF(AC30&gt;=AC71+AC72,"OK","BŁĄD")</f>
        <v>#REF!</v>
      </c>
      <c r="AD173" s="135" t="e">
        <f>IF(AD30&gt;=AD71+AD72,"OK","BŁĄD")</f>
        <v>#REF!</v>
      </c>
      <c r="AE173" s="135" t="e">
        <f>IF(AE30&gt;=AE71+AE72,"OK","BŁĄD")</f>
        <v>#REF!</v>
      </c>
      <c r="AF173" s="135" t="e">
        <f>IF(AF30&gt;=AF71+AF72,"OK","BŁĄD")</f>
        <v>#REF!</v>
      </c>
      <c r="AG173" s="135" t="e">
        <f>IF(AG30&gt;=AG71+AG72,"OK","BŁĄD")</f>
        <v>#REF!</v>
      </c>
      <c r="AH173" s="135" t="e">
        <f>IF(AH30&gt;=AH71+AH72,"OK","BŁĄD")</f>
        <v>#REF!</v>
      </c>
      <c r="AI173" s="135" t="e">
        <f>IF(AI30&gt;=AI71+AI72,"OK","BŁĄD")</f>
        <v>#REF!</v>
      </c>
      <c r="AJ173" s="135" t="e">
        <f>IF(AJ30&gt;=AJ71+AJ72,"OK","BŁĄD")</f>
        <v>#REF!</v>
      </c>
      <c r="AK173" s="135" t="e">
        <f>IF(AK30&gt;=AK71+AK72,"OK","BŁĄD")</f>
        <v>#REF!</v>
      </c>
      <c r="AL173" s="337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36"/>
      <c r="C174" s="129" t="s">
        <v>376</v>
      </c>
      <c r="D174" s="142" t="s">
        <v>377</v>
      </c>
      <c r="E174" s="131" t="s">
        <v>8</v>
      </c>
      <c r="F174" s="132" t="s">
        <v>8</v>
      </c>
      <c r="G174" s="132" t="s">
        <v>8</v>
      </c>
      <c r="H174" s="133" t="s">
        <v>8</v>
      </c>
      <c r="I174" s="134">
        <f>IF(I30&gt;=I73,"OK","BŁĄD")</f>
        <v>0</v>
      </c>
      <c r="J174" s="135">
        <f>IF(J30&gt;=J73,"OK","BŁĄD")</f>
        <v>0</v>
      </c>
      <c r="K174" s="135">
        <f>IF(K30&gt;=K73,"OK","BŁĄD")</f>
        <v>0</v>
      </c>
      <c r="L174" s="135">
        <f>IF(L30&gt;=L73,"OK","BŁĄD")</f>
        <v>0</v>
      </c>
      <c r="M174" s="135">
        <f>IF(M30&gt;=M73,"OK","BŁĄD")</f>
        <v>0</v>
      </c>
      <c r="N174" s="135">
        <f>IF(N30&gt;=N73,"OK","BŁĄD")</f>
        <v>0</v>
      </c>
      <c r="O174" s="135">
        <f>IF(O30&gt;=O73,"OK","BŁĄD")</f>
        <v>0</v>
      </c>
      <c r="P174" s="135">
        <f>IF(P30&gt;=P73,"OK","BŁĄD")</f>
        <v>0</v>
      </c>
      <c r="Q174" s="135">
        <f>IF(Q30&gt;=Q73,"OK","BŁĄD")</f>
        <v>0</v>
      </c>
      <c r="R174" s="135" t="e">
        <f>IF(R30&gt;=R73,"OK","BŁĄD")</f>
        <v>#REF!</v>
      </c>
      <c r="S174" s="135" t="e">
        <f>IF(S30&gt;=S73,"OK","BŁĄD")</f>
        <v>#REF!</v>
      </c>
      <c r="T174" s="135" t="e">
        <f>IF(T30&gt;=T73,"OK","BŁĄD")</f>
        <v>#REF!</v>
      </c>
      <c r="U174" s="135" t="e">
        <f>IF(U30&gt;=U73,"OK","BŁĄD")</f>
        <v>#REF!</v>
      </c>
      <c r="V174" s="135" t="e">
        <f>IF(V30&gt;=V73,"OK","BŁĄD")</f>
        <v>#REF!</v>
      </c>
      <c r="W174" s="135" t="e">
        <f>IF(W30&gt;=W73,"OK","BŁĄD")</f>
        <v>#REF!</v>
      </c>
      <c r="X174" s="135" t="e">
        <f>IF(X30&gt;=X73,"OK","BŁĄD")</f>
        <v>#REF!</v>
      </c>
      <c r="Y174" s="135" t="e">
        <f>IF(Y30&gt;=Y73,"OK","BŁĄD")</f>
        <v>#REF!</v>
      </c>
      <c r="Z174" s="135" t="e">
        <f>IF(Z30&gt;=Z73,"OK","BŁĄD")</f>
        <v>#REF!</v>
      </c>
      <c r="AA174" s="135" t="e">
        <f>IF(AA30&gt;=AA73,"OK","BŁĄD")</f>
        <v>#REF!</v>
      </c>
      <c r="AB174" s="135" t="e">
        <f>IF(AB30&gt;=AB73,"OK","BŁĄD")</f>
        <v>#REF!</v>
      </c>
      <c r="AC174" s="135" t="e">
        <f>IF(AC30&gt;=AC73,"OK","BŁĄD")</f>
        <v>#REF!</v>
      </c>
      <c r="AD174" s="135" t="e">
        <f>IF(AD30&gt;=AD73,"OK","BŁĄD")</f>
        <v>#REF!</v>
      </c>
      <c r="AE174" s="135" t="e">
        <f>IF(AE30&gt;=AE73,"OK","BŁĄD")</f>
        <v>#REF!</v>
      </c>
      <c r="AF174" s="135" t="e">
        <f>IF(AF30&gt;=AF73,"OK","BŁĄD")</f>
        <v>#REF!</v>
      </c>
      <c r="AG174" s="135" t="e">
        <f>IF(AG30&gt;=AG73,"OK","BŁĄD")</f>
        <v>#REF!</v>
      </c>
      <c r="AH174" s="135" t="e">
        <f>IF(AH30&gt;=AH73,"OK","BŁĄD")</f>
        <v>#REF!</v>
      </c>
      <c r="AI174" s="135" t="e">
        <f>IF(AI30&gt;=AI73,"OK","BŁĄD")</f>
        <v>#REF!</v>
      </c>
      <c r="AJ174" s="135" t="e">
        <f>IF(AJ30&gt;=AJ73,"OK","BŁĄD")</f>
        <v>#REF!</v>
      </c>
      <c r="AK174" s="135" t="e">
        <f>IF(AK30&gt;=AK73,"OK","BŁĄD")</f>
        <v>#REF!</v>
      </c>
      <c r="AL174" s="337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36"/>
      <c r="C175" s="129" t="s">
        <v>378</v>
      </c>
      <c r="D175" s="142" t="s">
        <v>379</v>
      </c>
      <c r="E175" s="131" t="s">
        <v>8</v>
      </c>
      <c r="F175" s="132" t="s">
        <v>8</v>
      </c>
      <c r="G175" s="132" t="s">
        <v>8</v>
      </c>
      <c r="H175" s="133" t="s">
        <v>8</v>
      </c>
      <c r="I175" s="134">
        <f>IF(I30&gt;=I84,"OK","BŁĄD")</f>
        <v>0</v>
      </c>
      <c r="J175" s="135">
        <f>IF(J30&gt;=J84,"OK","BŁĄD")</f>
        <v>0</v>
      </c>
      <c r="K175" s="135">
        <f>IF(K30&gt;=K84,"OK","BŁĄD")</f>
        <v>0</v>
      </c>
      <c r="L175" s="135">
        <f>IF(L30&gt;=L84,"OK","BŁĄD")</f>
        <v>0</v>
      </c>
      <c r="M175" s="135">
        <f>IF(M30&gt;=M84,"OK","BŁĄD")</f>
        <v>0</v>
      </c>
      <c r="N175" s="135">
        <f>IF(N30&gt;=N84,"OK","BŁĄD")</f>
        <v>0</v>
      </c>
      <c r="O175" s="135">
        <f>IF(O30&gt;=O84,"OK","BŁĄD")</f>
        <v>0</v>
      </c>
      <c r="P175" s="135">
        <f>IF(P30&gt;=P84,"OK","BŁĄD")</f>
        <v>0</v>
      </c>
      <c r="Q175" s="135">
        <f>IF(Q30&gt;=Q84,"OK","BŁĄD")</f>
        <v>0</v>
      </c>
      <c r="R175" s="135" t="e">
        <f>IF(R30&gt;=R84,"OK","BŁĄD")</f>
        <v>#REF!</v>
      </c>
      <c r="S175" s="135" t="e">
        <f>IF(S30&gt;=S84,"OK","BŁĄD")</f>
        <v>#REF!</v>
      </c>
      <c r="T175" s="135" t="e">
        <f>IF(T30&gt;=T84,"OK","BŁĄD")</f>
        <v>#REF!</v>
      </c>
      <c r="U175" s="135" t="e">
        <f>IF(U30&gt;=U84,"OK","BŁĄD")</f>
        <v>#REF!</v>
      </c>
      <c r="V175" s="135" t="e">
        <f>IF(V30&gt;=V84,"OK","BŁĄD")</f>
        <v>#REF!</v>
      </c>
      <c r="W175" s="135" t="e">
        <f>IF(W30&gt;=W84,"OK","BŁĄD")</f>
        <v>#REF!</v>
      </c>
      <c r="X175" s="135" t="e">
        <f>IF(X30&gt;=X84,"OK","BŁĄD")</f>
        <v>#REF!</v>
      </c>
      <c r="Y175" s="135" t="e">
        <f>IF(Y30&gt;=Y84,"OK","BŁĄD")</f>
        <v>#REF!</v>
      </c>
      <c r="Z175" s="135" t="e">
        <f>IF(Z30&gt;=Z84,"OK","BŁĄD")</f>
        <v>#REF!</v>
      </c>
      <c r="AA175" s="135" t="e">
        <f>IF(AA30&gt;=AA84,"OK","BŁĄD")</f>
        <v>#REF!</v>
      </c>
      <c r="AB175" s="135" t="e">
        <f>IF(AB30&gt;=AB84,"OK","BŁĄD")</f>
        <v>#REF!</v>
      </c>
      <c r="AC175" s="135" t="e">
        <f>IF(AC30&gt;=AC84,"OK","BŁĄD")</f>
        <v>#REF!</v>
      </c>
      <c r="AD175" s="135" t="e">
        <f>IF(AD30&gt;=AD84,"OK","BŁĄD")</f>
        <v>#REF!</v>
      </c>
      <c r="AE175" s="135" t="e">
        <f>IF(AE30&gt;=AE84,"OK","BŁĄD")</f>
        <v>#REF!</v>
      </c>
      <c r="AF175" s="135" t="e">
        <f>IF(AF30&gt;=AF84,"OK","BŁĄD")</f>
        <v>#REF!</v>
      </c>
      <c r="AG175" s="135" t="e">
        <f>IF(AG30&gt;=AG84,"OK","BŁĄD")</f>
        <v>#REF!</v>
      </c>
      <c r="AH175" s="135" t="e">
        <f>IF(AH30&gt;=AH84,"OK","BŁĄD")</f>
        <v>#REF!</v>
      </c>
      <c r="AI175" s="135" t="e">
        <f>IF(AI30&gt;=AI84,"OK","BŁĄD")</f>
        <v>#REF!</v>
      </c>
      <c r="AJ175" s="135" t="e">
        <f>IF(AJ30&gt;=AJ84,"OK","BŁĄD")</f>
        <v>#REF!</v>
      </c>
      <c r="AK175" s="135" t="e">
        <f>IF(AK30&gt;=AK84,"OK","BŁĄD")</f>
        <v>#REF!</v>
      </c>
      <c r="AL175" s="337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36"/>
      <c r="C176" s="129" t="s">
        <v>380</v>
      </c>
      <c r="D176" s="142" t="s">
        <v>381</v>
      </c>
      <c r="E176" s="131" t="s">
        <v>8</v>
      </c>
      <c r="F176" s="132" t="s">
        <v>8</v>
      </c>
      <c r="G176" s="132" t="s">
        <v>8</v>
      </c>
      <c r="H176" s="133" t="s">
        <v>8</v>
      </c>
      <c r="I176" s="134">
        <f>IF(I33&gt;=I34,"OK","BŁĄD")</f>
        <v>0</v>
      </c>
      <c r="J176" s="135">
        <f>IF(J33&gt;=J34,"OK","BŁĄD")</f>
        <v>0</v>
      </c>
      <c r="K176" s="135">
        <f>IF(K33&gt;=K34,"OK","BŁĄD")</f>
        <v>0</v>
      </c>
      <c r="L176" s="135">
        <f>IF(L33&gt;=L34,"OK","BŁĄD")</f>
        <v>0</v>
      </c>
      <c r="M176" s="135">
        <f>IF(M33&gt;=M34,"OK","BŁĄD")</f>
        <v>0</v>
      </c>
      <c r="N176" s="135">
        <f>IF(N33&gt;=N34,"OK","BŁĄD")</f>
        <v>0</v>
      </c>
      <c r="O176" s="135">
        <f>IF(O33&gt;=O34,"OK","BŁĄD")</f>
        <v>0</v>
      </c>
      <c r="P176" s="135">
        <f>IF(P33&gt;=P34,"OK","BŁĄD")</f>
        <v>0</v>
      </c>
      <c r="Q176" s="135">
        <f>IF(Q33&gt;=Q34,"OK","BŁĄD")</f>
        <v>0</v>
      </c>
      <c r="R176" s="135" t="e">
        <f>IF(R33&gt;=R34,"OK","BŁĄD")</f>
        <v>#REF!</v>
      </c>
      <c r="S176" s="135" t="e">
        <f>IF(S33&gt;=S34,"OK","BŁĄD")</f>
        <v>#REF!</v>
      </c>
      <c r="T176" s="135" t="e">
        <f>IF(T33&gt;=T34,"OK","BŁĄD")</f>
        <v>#REF!</v>
      </c>
      <c r="U176" s="135" t="e">
        <f>IF(U33&gt;=U34,"OK","BŁĄD")</f>
        <v>#REF!</v>
      </c>
      <c r="V176" s="135" t="e">
        <f>IF(V33&gt;=V34,"OK","BŁĄD")</f>
        <v>#REF!</v>
      </c>
      <c r="W176" s="135" t="e">
        <f>IF(W33&gt;=W34,"OK","BŁĄD")</f>
        <v>#REF!</v>
      </c>
      <c r="X176" s="135" t="e">
        <f>IF(X33&gt;=X34,"OK","BŁĄD")</f>
        <v>#REF!</v>
      </c>
      <c r="Y176" s="135" t="e">
        <f>IF(Y33&gt;=Y34,"OK","BŁĄD")</f>
        <v>#REF!</v>
      </c>
      <c r="Z176" s="135" t="e">
        <f>IF(Z33&gt;=Z34,"OK","BŁĄD")</f>
        <v>#REF!</v>
      </c>
      <c r="AA176" s="135" t="e">
        <f>IF(AA33&gt;=AA34,"OK","BŁĄD")</f>
        <v>#REF!</v>
      </c>
      <c r="AB176" s="135" t="e">
        <f>IF(AB33&gt;=AB34,"OK","BŁĄD")</f>
        <v>#REF!</v>
      </c>
      <c r="AC176" s="135" t="e">
        <f>IF(AC33&gt;=AC34,"OK","BŁĄD")</f>
        <v>#REF!</v>
      </c>
      <c r="AD176" s="135" t="e">
        <f>IF(AD33&gt;=AD34,"OK","BŁĄD")</f>
        <v>#REF!</v>
      </c>
      <c r="AE176" s="135" t="e">
        <f>IF(AE33&gt;=AE34,"OK","BŁĄD")</f>
        <v>#REF!</v>
      </c>
      <c r="AF176" s="135" t="e">
        <f>IF(AF33&gt;=AF34,"OK","BŁĄD")</f>
        <v>#REF!</v>
      </c>
      <c r="AG176" s="135" t="e">
        <f>IF(AG33&gt;=AG34,"OK","BŁĄD")</f>
        <v>#REF!</v>
      </c>
      <c r="AH176" s="135" t="e">
        <f>IF(AH33&gt;=AH34,"OK","BŁĄD")</f>
        <v>#REF!</v>
      </c>
      <c r="AI176" s="135" t="e">
        <f>IF(AI33&gt;=AI34,"OK","BŁĄD")</f>
        <v>#REF!</v>
      </c>
      <c r="AJ176" s="135" t="e">
        <f>IF(AJ33&gt;=AJ34,"OK","BŁĄD")</f>
        <v>#REF!</v>
      </c>
      <c r="AK176" s="135" t="e">
        <f>IF(AK33&gt;=AK34,"OK","BŁĄD")</f>
        <v>#REF!</v>
      </c>
      <c r="AL176" s="337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36"/>
      <c r="C177" s="129" t="s">
        <v>382</v>
      </c>
      <c r="D177" s="142" t="s">
        <v>383</v>
      </c>
      <c r="E177" s="131" t="s">
        <v>8</v>
      </c>
      <c r="F177" s="132" t="s">
        <v>8</v>
      </c>
      <c r="G177" s="132" t="s">
        <v>8</v>
      </c>
      <c r="H177" s="133" t="s">
        <v>8</v>
      </c>
      <c r="I177" s="134">
        <f>IF(I35&gt;=I36,"OK","BŁĄD")</f>
        <v>0</v>
      </c>
      <c r="J177" s="135">
        <f>IF(J35&gt;=J36,"OK","BŁĄD")</f>
        <v>0</v>
      </c>
      <c r="K177" s="135">
        <f>IF(K35&gt;=K36,"OK","BŁĄD")</f>
        <v>0</v>
      </c>
      <c r="L177" s="135">
        <f>IF(L35&gt;=L36,"OK","BŁĄD")</f>
        <v>0</v>
      </c>
      <c r="M177" s="135">
        <f>IF(M35&gt;=M36,"OK","BŁĄD")</f>
        <v>0</v>
      </c>
      <c r="N177" s="135">
        <f>IF(N35&gt;=N36,"OK","BŁĄD")</f>
        <v>0</v>
      </c>
      <c r="O177" s="135">
        <f>IF(O35&gt;=O36,"OK","BŁĄD")</f>
        <v>0</v>
      </c>
      <c r="P177" s="135">
        <f>IF(P35&gt;=P36,"OK","BŁĄD")</f>
        <v>0</v>
      </c>
      <c r="Q177" s="135">
        <f>IF(Q35&gt;=Q36,"OK","BŁĄD")</f>
        <v>0</v>
      </c>
      <c r="R177" s="135" t="e">
        <f>IF(R35&gt;=R36,"OK","BŁĄD")</f>
        <v>#REF!</v>
      </c>
      <c r="S177" s="135" t="e">
        <f>IF(S35&gt;=S36,"OK","BŁĄD")</f>
        <v>#REF!</v>
      </c>
      <c r="T177" s="135" t="e">
        <f>IF(T35&gt;=T36,"OK","BŁĄD")</f>
        <v>#REF!</v>
      </c>
      <c r="U177" s="135" t="e">
        <f>IF(U35&gt;=U36,"OK","BŁĄD")</f>
        <v>#REF!</v>
      </c>
      <c r="V177" s="135" t="e">
        <f>IF(V35&gt;=V36,"OK","BŁĄD")</f>
        <v>#REF!</v>
      </c>
      <c r="W177" s="135" t="e">
        <f>IF(W35&gt;=W36,"OK","BŁĄD")</f>
        <v>#REF!</v>
      </c>
      <c r="X177" s="135" t="e">
        <f>IF(X35&gt;=X36,"OK","BŁĄD")</f>
        <v>#REF!</v>
      </c>
      <c r="Y177" s="135" t="e">
        <f>IF(Y35&gt;=Y36,"OK","BŁĄD")</f>
        <v>#REF!</v>
      </c>
      <c r="Z177" s="135" t="e">
        <f>IF(Z35&gt;=Z36,"OK","BŁĄD")</f>
        <v>#REF!</v>
      </c>
      <c r="AA177" s="135" t="e">
        <f>IF(AA35&gt;=AA36,"OK","BŁĄD")</f>
        <v>#REF!</v>
      </c>
      <c r="AB177" s="135" t="e">
        <f>IF(AB35&gt;=AB36,"OK","BŁĄD")</f>
        <v>#REF!</v>
      </c>
      <c r="AC177" s="135" t="e">
        <f>IF(AC35&gt;=AC36,"OK","BŁĄD")</f>
        <v>#REF!</v>
      </c>
      <c r="AD177" s="135" t="e">
        <f>IF(AD35&gt;=AD36,"OK","BŁĄD")</f>
        <v>#REF!</v>
      </c>
      <c r="AE177" s="135" t="e">
        <f>IF(AE35&gt;=AE36,"OK","BŁĄD")</f>
        <v>#REF!</v>
      </c>
      <c r="AF177" s="135" t="e">
        <f>IF(AF35&gt;=AF36,"OK","BŁĄD")</f>
        <v>#REF!</v>
      </c>
      <c r="AG177" s="135" t="e">
        <f>IF(AG35&gt;=AG36,"OK","BŁĄD")</f>
        <v>#REF!</v>
      </c>
      <c r="AH177" s="135" t="e">
        <f>IF(AH35&gt;=AH36,"OK","BŁĄD")</f>
        <v>#REF!</v>
      </c>
      <c r="AI177" s="135" t="e">
        <f>IF(AI35&gt;=AI36,"OK","BŁĄD")</f>
        <v>#REF!</v>
      </c>
      <c r="AJ177" s="135" t="e">
        <f>IF(AJ35&gt;=AJ36,"OK","BŁĄD")</f>
        <v>#REF!</v>
      </c>
      <c r="AK177" s="135" t="e">
        <f>IF(AK35&gt;=AK36,"OK","BŁĄD")</f>
        <v>#REF!</v>
      </c>
      <c r="AL177" s="337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36"/>
      <c r="C178" s="129" t="s">
        <v>384</v>
      </c>
      <c r="D178" s="142" t="s">
        <v>385</v>
      </c>
      <c r="E178" s="131" t="s">
        <v>8</v>
      </c>
      <c r="F178" s="132" t="s">
        <v>8</v>
      </c>
      <c r="G178" s="132" t="s">
        <v>8</v>
      </c>
      <c r="H178" s="133" t="s">
        <v>8</v>
      </c>
      <c r="I178" s="134">
        <f>IF(I37&gt;=I38,"OK","BŁĄD")</f>
        <v>0</v>
      </c>
      <c r="J178" s="135">
        <f>IF(J37&gt;=J38,"OK","BŁĄD")</f>
        <v>0</v>
      </c>
      <c r="K178" s="135">
        <f>IF(K37&gt;=K38,"OK","BŁĄD")</f>
        <v>0</v>
      </c>
      <c r="L178" s="135">
        <f>IF(L37&gt;=L38,"OK","BŁĄD")</f>
        <v>0</v>
      </c>
      <c r="M178" s="135">
        <f>IF(M37&gt;=M38,"OK","BŁĄD")</f>
        <v>0</v>
      </c>
      <c r="N178" s="135">
        <f>IF(N37&gt;=N38,"OK","BŁĄD")</f>
        <v>0</v>
      </c>
      <c r="O178" s="135">
        <f>IF(O37&gt;=O38,"OK","BŁĄD")</f>
        <v>0</v>
      </c>
      <c r="P178" s="135">
        <f>IF(P37&gt;=P38,"OK","BŁĄD")</f>
        <v>0</v>
      </c>
      <c r="Q178" s="135">
        <f>IF(Q37&gt;=Q38,"OK","BŁĄD")</f>
        <v>0</v>
      </c>
      <c r="R178" s="135" t="e">
        <f>IF(R37&gt;=R38,"OK","BŁĄD")</f>
        <v>#REF!</v>
      </c>
      <c r="S178" s="135" t="e">
        <f>IF(S37&gt;=S38,"OK","BŁĄD")</f>
        <v>#REF!</v>
      </c>
      <c r="T178" s="135" t="e">
        <f>IF(T37&gt;=T38,"OK","BŁĄD")</f>
        <v>#REF!</v>
      </c>
      <c r="U178" s="135" t="e">
        <f>IF(U37&gt;=U38,"OK","BŁĄD")</f>
        <v>#REF!</v>
      </c>
      <c r="V178" s="135" t="e">
        <f>IF(V37&gt;=V38,"OK","BŁĄD")</f>
        <v>#REF!</v>
      </c>
      <c r="W178" s="135" t="e">
        <f>IF(W37&gt;=W38,"OK","BŁĄD")</f>
        <v>#REF!</v>
      </c>
      <c r="X178" s="135" t="e">
        <f>IF(X37&gt;=X38,"OK","BŁĄD")</f>
        <v>#REF!</v>
      </c>
      <c r="Y178" s="135" t="e">
        <f>IF(Y37&gt;=Y38,"OK","BŁĄD")</f>
        <v>#REF!</v>
      </c>
      <c r="Z178" s="135" t="e">
        <f>IF(Z37&gt;=Z38,"OK","BŁĄD")</f>
        <v>#REF!</v>
      </c>
      <c r="AA178" s="135" t="e">
        <f>IF(AA37&gt;=AA38,"OK","BŁĄD")</f>
        <v>#REF!</v>
      </c>
      <c r="AB178" s="135" t="e">
        <f>IF(AB37&gt;=AB38,"OK","BŁĄD")</f>
        <v>#REF!</v>
      </c>
      <c r="AC178" s="135" t="e">
        <f>IF(AC37&gt;=AC38,"OK","BŁĄD")</f>
        <v>#REF!</v>
      </c>
      <c r="AD178" s="135" t="e">
        <f>IF(AD37&gt;=AD38,"OK","BŁĄD")</f>
        <v>#REF!</v>
      </c>
      <c r="AE178" s="135" t="e">
        <f>IF(AE37&gt;=AE38,"OK","BŁĄD")</f>
        <v>#REF!</v>
      </c>
      <c r="AF178" s="135" t="e">
        <f>IF(AF37&gt;=AF38,"OK","BŁĄD")</f>
        <v>#REF!</v>
      </c>
      <c r="AG178" s="135" t="e">
        <f>IF(AG37&gt;=AG38,"OK","BŁĄD")</f>
        <v>#REF!</v>
      </c>
      <c r="AH178" s="135" t="e">
        <f>IF(AH37&gt;=AH38,"OK","BŁĄD")</f>
        <v>#REF!</v>
      </c>
      <c r="AI178" s="135" t="e">
        <f>IF(AI37&gt;=AI38,"OK","BŁĄD")</f>
        <v>#REF!</v>
      </c>
      <c r="AJ178" s="135" t="e">
        <f>IF(AJ37&gt;=AJ38,"OK","BŁĄD")</f>
        <v>#REF!</v>
      </c>
      <c r="AK178" s="135" t="e">
        <f>IF(AK37&gt;=AK38,"OK","BŁĄD")</f>
        <v>#REF!</v>
      </c>
      <c r="AL178" s="337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36"/>
      <c r="C179" s="129" t="s">
        <v>386</v>
      </c>
      <c r="D179" s="142" t="s">
        <v>387</v>
      </c>
      <c r="E179" s="131" t="s">
        <v>8</v>
      </c>
      <c r="F179" s="132" t="s">
        <v>8</v>
      </c>
      <c r="G179" s="132" t="s">
        <v>8</v>
      </c>
      <c r="H179" s="133" t="s">
        <v>8</v>
      </c>
      <c r="I179" s="134">
        <f>IF(I39&gt;=I40,"OK","BŁĄD")</f>
        <v>0</v>
      </c>
      <c r="J179" s="135">
        <f>IF(J39&gt;=J40,"OK","BŁĄD")</f>
        <v>0</v>
      </c>
      <c r="K179" s="135">
        <f>IF(K39&gt;=K40,"OK","BŁĄD")</f>
        <v>0</v>
      </c>
      <c r="L179" s="135">
        <f>IF(L39&gt;=L40,"OK","BŁĄD")</f>
        <v>0</v>
      </c>
      <c r="M179" s="135">
        <f>IF(M39&gt;=M40,"OK","BŁĄD")</f>
        <v>0</v>
      </c>
      <c r="N179" s="135">
        <f>IF(N39&gt;=N40,"OK","BŁĄD")</f>
        <v>0</v>
      </c>
      <c r="O179" s="135">
        <f>IF(O39&gt;=O40,"OK","BŁĄD")</f>
        <v>0</v>
      </c>
      <c r="P179" s="135">
        <f>IF(P39&gt;=P40,"OK","BŁĄD")</f>
        <v>0</v>
      </c>
      <c r="Q179" s="135">
        <f>IF(Q39&gt;=Q40,"OK","BŁĄD")</f>
        <v>0</v>
      </c>
      <c r="R179" s="135" t="e">
        <f>IF(R39&gt;=R40,"OK","BŁĄD")</f>
        <v>#REF!</v>
      </c>
      <c r="S179" s="135" t="e">
        <f>IF(S39&gt;=S40,"OK","BŁĄD")</f>
        <v>#REF!</v>
      </c>
      <c r="T179" s="135" t="e">
        <f>IF(T39&gt;=T40,"OK","BŁĄD")</f>
        <v>#REF!</v>
      </c>
      <c r="U179" s="135" t="e">
        <f>IF(U39&gt;=U40,"OK","BŁĄD")</f>
        <v>#REF!</v>
      </c>
      <c r="V179" s="135" t="e">
        <f>IF(V39&gt;=V40,"OK","BŁĄD")</f>
        <v>#REF!</v>
      </c>
      <c r="W179" s="135" t="e">
        <f>IF(W39&gt;=W40,"OK","BŁĄD")</f>
        <v>#REF!</v>
      </c>
      <c r="X179" s="135" t="e">
        <f>IF(X39&gt;=X40,"OK","BŁĄD")</f>
        <v>#REF!</v>
      </c>
      <c r="Y179" s="135" t="e">
        <f>IF(Y39&gt;=Y40,"OK","BŁĄD")</f>
        <v>#REF!</v>
      </c>
      <c r="Z179" s="135" t="e">
        <f>IF(Z39&gt;=Z40,"OK","BŁĄD")</f>
        <v>#REF!</v>
      </c>
      <c r="AA179" s="135" t="e">
        <f>IF(AA39&gt;=AA40,"OK","BŁĄD")</f>
        <v>#REF!</v>
      </c>
      <c r="AB179" s="135" t="e">
        <f>IF(AB39&gt;=AB40,"OK","BŁĄD")</f>
        <v>#REF!</v>
      </c>
      <c r="AC179" s="135" t="e">
        <f>IF(AC39&gt;=AC40,"OK","BŁĄD")</f>
        <v>#REF!</v>
      </c>
      <c r="AD179" s="135" t="e">
        <f>IF(AD39&gt;=AD40,"OK","BŁĄD")</f>
        <v>#REF!</v>
      </c>
      <c r="AE179" s="135" t="e">
        <f>IF(AE39&gt;=AE40,"OK","BŁĄD")</f>
        <v>#REF!</v>
      </c>
      <c r="AF179" s="135" t="e">
        <f>IF(AF39&gt;=AF40,"OK","BŁĄD")</f>
        <v>#REF!</v>
      </c>
      <c r="AG179" s="135" t="e">
        <f>IF(AG39&gt;=AG40,"OK","BŁĄD")</f>
        <v>#REF!</v>
      </c>
      <c r="AH179" s="135" t="e">
        <f>IF(AH39&gt;=AH40,"OK","BŁĄD")</f>
        <v>#REF!</v>
      </c>
      <c r="AI179" s="135" t="e">
        <f>IF(AI39&gt;=AI40,"OK","BŁĄD")</f>
        <v>#REF!</v>
      </c>
      <c r="AJ179" s="135" t="e">
        <f>IF(AJ39&gt;=AJ40,"OK","BŁĄD")</f>
        <v>#REF!</v>
      </c>
      <c r="AK179" s="135" t="e">
        <f>IF(AK39&gt;=AK40,"OK","BŁĄD")</f>
        <v>#REF!</v>
      </c>
      <c r="AL179" s="337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36"/>
      <c r="C180" s="129" t="s">
        <v>388</v>
      </c>
      <c r="D180" s="142" t="s">
        <v>389</v>
      </c>
      <c r="E180" s="131" t="s">
        <v>8</v>
      </c>
      <c r="F180" s="132" t="s">
        <v>8</v>
      </c>
      <c r="G180" s="132" t="s">
        <v>8</v>
      </c>
      <c r="H180" s="133" t="s">
        <v>8</v>
      </c>
      <c r="I180" s="134">
        <f>IF(I42&gt;=I43,"OK","BŁĄD")</f>
        <v>0</v>
      </c>
      <c r="J180" s="135">
        <f>IF(J42&gt;=J43,"OK","BŁĄD")</f>
        <v>0</v>
      </c>
      <c r="K180" s="135">
        <f>IF(K42&gt;=K43,"OK","BŁĄD")</f>
        <v>0</v>
      </c>
      <c r="L180" s="135">
        <f>IF(L42&gt;=L43,"OK","BŁĄD")</f>
        <v>0</v>
      </c>
      <c r="M180" s="135">
        <f>IF(M42&gt;=M43,"OK","BŁĄD")</f>
        <v>0</v>
      </c>
      <c r="N180" s="135">
        <f>IF(N42&gt;=N43,"OK","BŁĄD")</f>
        <v>0</v>
      </c>
      <c r="O180" s="135">
        <f>IF(O42&gt;=O43,"OK","BŁĄD")</f>
        <v>0</v>
      </c>
      <c r="P180" s="135">
        <f>IF(P42&gt;=P43,"OK","BŁĄD")</f>
        <v>0</v>
      </c>
      <c r="Q180" s="135">
        <f>IF(Q42&gt;=Q43,"OK","BŁĄD")</f>
        <v>0</v>
      </c>
      <c r="R180" s="135" t="e">
        <f>IF(R42&gt;=R43,"OK","BŁĄD")</f>
        <v>#REF!</v>
      </c>
      <c r="S180" s="135" t="e">
        <f>IF(S42&gt;=S43,"OK","BŁĄD")</f>
        <v>#REF!</v>
      </c>
      <c r="T180" s="135" t="e">
        <f>IF(T42&gt;=T43,"OK","BŁĄD")</f>
        <v>#REF!</v>
      </c>
      <c r="U180" s="135" t="e">
        <f>IF(U42&gt;=U43,"OK","BŁĄD")</f>
        <v>#REF!</v>
      </c>
      <c r="V180" s="135" t="e">
        <f>IF(V42&gt;=V43,"OK","BŁĄD")</f>
        <v>#REF!</v>
      </c>
      <c r="W180" s="135" t="e">
        <f>IF(W42&gt;=W43,"OK","BŁĄD")</f>
        <v>#REF!</v>
      </c>
      <c r="X180" s="135" t="e">
        <f>IF(X42&gt;=X43,"OK","BŁĄD")</f>
        <v>#REF!</v>
      </c>
      <c r="Y180" s="135" t="e">
        <f>IF(Y42&gt;=Y43,"OK","BŁĄD")</f>
        <v>#REF!</v>
      </c>
      <c r="Z180" s="135" t="e">
        <f>IF(Z42&gt;=Z43,"OK","BŁĄD")</f>
        <v>#REF!</v>
      </c>
      <c r="AA180" s="135" t="e">
        <f>IF(AA42&gt;=AA43,"OK","BŁĄD")</f>
        <v>#REF!</v>
      </c>
      <c r="AB180" s="135" t="e">
        <f>IF(AB42&gt;=AB43,"OK","BŁĄD")</f>
        <v>#REF!</v>
      </c>
      <c r="AC180" s="135" t="e">
        <f>IF(AC42&gt;=AC43,"OK","BŁĄD")</f>
        <v>#REF!</v>
      </c>
      <c r="AD180" s="135" t="e">
        <f>IF(AD42&gt;=AD43,"OK","BŁĄD")</f>
        <v>#REF!</v>
      </c>
      <c r="AE180" s="135" t="e">
        <f>IF(AE42&gt;=AE43,"OK","BŁĄD")</f>
        <v>#REF!</v>
      </c>
      <c r="AF180" s="135" t="e">
        <f>IF(AF42&gt;=AF43,"OK","BŁĄD")</f>
        <v>#REF!</v>
      </c>
      <c r="AG180" s="135" t="e">
        <f>IF(AG42&gt;=AG43,"OK","BŁĄD")</f>
        <v>#REF!</v>
      </c>
      <c r="AH180" s="135" t="e">
        <f>IF(AH42&gt;=AH43,"OK","BŁĄD")</f>
        <v>#REF!</v>
      </c>
      <c r="AI180" s="135" t="e">
        <f>IF(AI42&gt;=AI43,"OK","BŁĄD")</f>
        <v>#REF!</v>
      </c>
      <c r="AJ180" s="135" t="e">
        <f>IF(AJ42&gt;=AJ43,"OK","BŁĄD")</f>
        <v>#REF!</v>
      </c>
      <c r="AK180" s="135" t="e">
        <f>IF(AK42&gt;=AK43,"OK","BŁĄD")</f>
        <v>#REF!</v>
      </c>
      <c r="AL180" s="337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36"/>
      <c r="C181" s="129" t="s">
        <v>390</v>
      </c>
      <c r="D181" s="142" t="s">
        <v>391</v>
      </c>
      <c r="E181" s="131" t="s">
        <v>8</v>
      </c>
      <c r="F181" s="132" t="s">
        <v>8</v>
      </c>
      <c r="G181" s="132" t="s">
        <v>8</v>
      </c>
      <c r="H181" s="133" t="s">
        <v>8</v>
      </c>
      <c r="I181" s="134">
        <f>IF(I42&gt;=I64,"OK","BŁĄD")</f>
        <v>0</v>
      </c>
      <c r="J181" s="135">
        <f>IF(J42&gt;=J64,"OK","BŁĄD")</f>
        <v>0</v>
      </c>
      <c r="K181" s="135">
        <f>IF(K42&gt;=K64,"OK","BŁĄD")</f>
        <v>0</v>
      </c>
      <c r="L181" s="135">
        <f>IF(L42&gt;=L64,"OK","BŁĄD")</f>
        <v>0</v>
      </c>
      <c r="M181" s="135">
        <f>IF(M42&gt;=M64,"OK","BŁĄD")</f>
        <v>0</v>
      </c>
      <c r="N181" s="135">
        <f>IF(N42&gt;=N64,"OK","BŁĄD")</f>
        <v>0</v>
      </c>
      <c r="O181" s="135">
        <f>IF(O42&gt;=O64,"OK","BŁĄD")</f>
        <v>0</v>
      </c>
      <c r="P181" s="135">
        <f>IF(P42&gt;=P64,"OK","BŁĄD")</f>
        <v>0</v>
      </c>
      <c r="Q181" s="135">
        <f>IF(Q42&gt;=Q64,"OK","BŁĄD")</f>
        <v>0</v>
      </c>
      <c r="R181" s="135" t="e">
        <f>IF(R42&gt;=R64,"OK","BŁĄD")</f>
        <v>#REF!</v>
      </c>
      <c r="S181" s="135" t="e">
        <f>IF(S42&gt;=S64,"OK","BŁĄD")</f>
        <v>#REF!</v>
      </c>
      <c r="T181" s="135" t="e">
        <f>IF(T42&gt;=T64,"OK","BŁĄD")</f>
        <v>#REF!</v>
      </c>
      <c r="U181" s="135" t="e">
        <f>IF(U42&gt;=U64,"OK","BŁĄD")</f>
        <v>#REF!</v>
      </c>
      <c r="V181" s="135" t="e">
        <f>IF(V42&gt;=V64,"OK","BŁĄD")</f>
        <v>#REF!</v>
      </c>
      <c r="W181" s="135" t="e">
        <f>IF(W42&gt;=W64,"OK","BŁĄD")</f>
        <v>#REF!</v>
      </c>
      <c r="X181" s="135" t="e">
        <f>IF(X42&gt;=X64,"OK","BŁĄD")</f>
        <v>#REF!</v>
      </c>
      <c r="Y181" s="135" t="e">
        <f>IF(Y42&gt;=Y64,"OK","BŁĄD")</f>
        <v>#REF!</v>
      </c>
      <c r="Z181" s="135" t="e">
        <f>IF(Z42&gt;=Z64,"OK","BŁĄD")</f>
        <v>#REF!</v>
      </c>
      <c r="AA181" s="135" t="e">
        <f>IF(AA42&gt;=AA64,"OK","BŁĄD")</f>
        <v>#REF!</v>
      </c>
      <c r="AB181" s="135" t="e">
        <f>IF(AB42&gt;=AB64,"OK","BŁĄD")</f>
        <v>#REF!</v>
      </c>
      <c r="AC181" s="135" t="e">
        <f>IF(AC42&gt;=AC64,"OK","BŁĄD")</f>
        <v>#REF!</v>
      </c>
      <c r="AD181" s="135" t="e">
        <f>IF(AD42&gt;=AD64,"OK","BŁĄD")</f>
        <v>#REF!</v>
      </c>
      <c r="AE181" s="135" t="e">
        <f>IF(AE42&gt;=AE64,"OK","BŁĄD")</f>
        <v>#REF!</v>
      </c>
      <c r="AF181" s="135" t="e">
        <f>IF(AF42&gt;=AF64,"OK","BŁĄD")</f>
        <v>#REF!</v>
      </c>
      <c r="AG181" s="135" t="e">
        <f>IF(AG42&gt;=AG64,"OK","BŁĄD")</f>
        <v>#REF!</v>
      </c>
      <c r="AH181" s="135" t="e">
        <f>IF(AH42&gt;=AH64,"OK","BŁĄD")</f>
        <v>#REF!</v>
      </c>
      <c r="AI181" s="135" t="e">
        <f>IF(AI42&gt;=AI64,"OK","BŁĄD")</f>
        <v>#REF!</v>
      </c>
      <c r="AJ181" s="135" t="e">
        <f>IF(AJ42&gt;=AJ64,"OK","BŁĄD")</f>
        <v>#REF!</v>
      </c>
      <c r="AK181" s="135" t="e">
        <f>IF(AK42&gt;=AK64,"OK","BŁĄD")</f>
        <v>#REF!</v>
      </c>
      <c r="AL181" s="337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36"/>
      <c r="C182" s="129" t="s">
        <v>392</v>
      </c>
      <c r="D182" s="142" t="s">
        <v>393</v>
      </c>
      <c r="E182" s="131" t="s">
        <v>8</v>
      </c>
      <c r="F182" s="132" t="s">
        <v>8</v>
      </c>
      <c r="G182" s="132" t="s">
        <v>8</v>
      </c>
      <c r="H182" s="133" t="s">
        <v>8</v>
      </c>
      <c r="I182" s="134">
        <f>IF(I42&gt;=I104,"OK","BŁĄD")</f>
        <v>0</v>
      </c>
      <c r="J182" s="135">
        <f>IF(J42&gt;=J104,"OK","BŁĄD")</f>
        <v>0</v>
      </c>
      <c r="K182" s="135">
        <f>IF(K42&gt;=K104,"OK","BŁĄD")</f>
        <v>0</v>
      </c>
      <c r="L182" s="135">
        <f>IF(L42&gt;=L104,"OK","BŁĄD")</f>
        <v>0</v>
      </c>
      <c r="M182" s="135">
        <f>IF(M42&gt;=M104,"OK","BŁĄD")</f>
        <v>0</v>
      </c>
      <c r="N182" s="135">
        <f>IF(N42&gt;=N104,"OK","BŁĄD")</f>
        <v>0</v>
      </c>
      <c r="O182" s="135">
        <f>IF(O42&gt;=O104,"OK","BŁĄD")</f>
        <v>0</v>
      </c>
      <c r="P182" s="135">
        <f>IF(P42&gt;=P104,"OK","BŁĄD")</f>
        <v>0</v>
      </c>
      <c r="Q182" s="135">
        <f>IF(Q42&gt;=Q104,"OK","BŁĄD")</f>
        <v>0</v>
      </c>
      <c r="R182" s="135" t="e">
        <f>IF(R42&gt;=R104,"OK","BŁĄD")</f>
        <v>#REF!</v>
      </c>
      <c r="S182" s="135" t="e">
        <f>IF(S42&gt;=S104,"OK","BŁĄD")</f>
        <v>#REF!</v>
      </c>
      <c r="T182" s="135" t="e">
        <f>IF(T42&gt;=T104,"OK","BŁĄD")</f>
        <v>#REF!</v>
      </c>
      <c r="U182" s="135" t="e">
        <f>IF(U42&gt;=U104,"OK","BŁĄD")</f>
        <v>#REF!</v>
      </c>
      <c r="V182" s="135" t="e">
        <f>IF(V42&gt;=V104,"OK","BŁĄD")</f>
        <v>#REF!</v>
      </c>
      <c r="W182" s="135" t="e">
        <f>IF(W42&gt;=W104,"OK","BŁĄD")</f>
        <v>#REF!</v>
      </c>
      <c r="X182" s="135" t="e">
        <f>IF(X42&gt;=X104,"OK","BŁĄD")</f>
        <v>#REF!</v>
      </c>
      <c r="Y182" s="135" t="e">
        <f>IF(Y42&gt;=Y104,"OK","BŁĄD")</f>
        <v>#REF!</v>
      </c>
      <c r="Z182" s="135" t="e">
        <f>IF(Z42&gt;=Z104,"OK","BŁĄD")</f>
        <v>#REF!</v>
      </c>
      <c r="AA182" s="135" t="e">
        <f>IF(AA42&gt;=AA104,"OK","BŁĄD")</f>
        <v>#REF!</v>
      </c>
      <c r="AB182" s="135" t="e">
        <f>IF(AB42&gt;=AB104,"OK","BŁĄD")</f>
        <v>#REF!</v>
      </c>
      <c r="AC182" s="135" t="e">
        <f>IF(AC42&gt;=AC104,"OK","BŁĄD")</f>
        <v>#REF!</v>
      </c>
      <c r="AD182" s="135" t="e">
        <f>IF(AD42&gt;=AD104,"OK","BŁĄD")</f>
        <v>#REF!</v>
      </c>
      <c r="AE182" s="135" t="e">
        <f>IF(AE42&gt;=AE104,"OK","BŁĄD")</f>
        <v>#REF!</v>
      </c>
      <c r="AF182" s="135" t="e">
        <f>IF(AF42&gt;=AF104,"OK","BŁĄD")</f>
        <v>#REF!</v>
      </c>
      <c r="AG182" s="135" t="e">
        <f>IF(AG42&gt;=AG104,"OK","BŁĄD")</f>
        <v>#REF!</v>
      </c>
      <c r="AH182" s="135" t="e">
        <f>IF(AH42&gt;=AH104,"OK","BŁĄD")</f>
        <v>#REF!</v>
      </c>
      <c r="AI182" s="135" t="e">
        <f>IF(AI42&gt;=AI104,"OK","BŁĄD")</f>
        <v>#REF!</v>
      </c>
      <c r="AJ182" s="135" t="e">
        <f>IF(AJ42&gt;=AJ104,"OK","BŁĄD")</f>
        <v>#REF!</v>
      </c>
      <c r="AK182" s="135" t="e">
        <f>IF(AK42&gt;=AK104,"OK","BŁĄD")</f>
        <v>#REF!</v>
      </c>
      <c r="AL182" s="337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36"/>
      <c r="C183" s="129" t="s">
        <v>394</v>
      </c>
      <c r="D183" s="142" t="s">
        <v>395</v>
      </c>
      <c r="E183" s="131" t="s">
        <v>8</v>
      </c>
      <c r="F183" s="132" t="s">
        <v>8</v>
      </c>
      <c r="G183" s="132" t="s">
        <v>8</v>
      </c>
      <c r="H183" s="133" t="s">
        <v>8</v>
      </c>
      <c r="I183" s="134">
        <f>IF(I48&gt;=I49,"OK","BŁĄD")</f>
        <v>0</v>
      </c>
      <c r="J183" s="135">
        <f>IF(J48&gt;=J49,"OK","BŁĄD")</f>
        <v>0</v>
      </c>
      <c r="K183" s="135">
        <f>IF(K48&gt;=K49,"OK","BŁĄD")</f>
        <v>0</v>
      </c>
      <c r="L183" s="135">
        <f>IF(L48&gt;=L49,"OK","BŁĄD")</f>
        <v>0</v>
      </c>
      <c r="M183" s="135">
        <f>IF(M48&gt;=M49,"OK","BŁĄD")</f>
        <v>0</v>
      </c>
      <c r="N183" s="135">
        <f>IF(N48&gt;=N49,"OK","BŁĄD")</f>
        <v>0</v>
      </c>
      <c r="O183" s="135">
        <f>IF(O48&gt;=O49,"OK","BŁĄD")</f>
        <v>0</v>
      </c>
      <c r="P183" s="135">
        <f>IF(P48&gt;=P49,"OK","BŁĄD")</f>
        <v>0</v>
      </c>
      <c r="Q183" s="135">
        <f>IF(Q48&gt;=Q49,"OK","BŁĄD")</f>
        <v>0</v>
      </c>
      <c r="R183" s="135" t="e">
        <f>IF(R48&gt;=R49,"OK","BŁĄD")</f>
        <v>#REF!</v>
      </c>
      <c r="S183" s="135" t="e">
        <f>IF(S48&gt;=S49,"OK","BŁĄD")</f>
        <v>#REF!</v>
      </c>
      <c r="T183" s="135" t="e">
        <f>IF(T48&gt;=T49,"OK","BŁĄD")</f>
        <v>#REF!</v>
      </c>
      <c r="U183" s="135" t="e">
        <f>IF(U48&gt;=U49,"OK","BŁĄD")</f>
        <v>#REF!</v>
      </c>
      <c r="V183" s="135" t="e">
        <f>IF(V48&gt;=V49,"OK","BŁĄD")</f>
        <v>#REF!</v>
      </c>
      <c r="W183" s="135" t="e">
        <f>IF(W48&gt;=W49,"OK","BŁĄD")</f>
        <v>#REF!</v>
      </c>
      <c r="X183" s="135" t="e">
        <f>IF(X48&gt;=X49,"OK","BŁĄD")</f>
        <v>#REF!</v>
      </c>
      <c r="Y183" s="135" t="e">
        <f>IF(Y48&gt;=Y49,"OK","BŁĄD")</f>
        <v>#REF!</v>
      </c>
      <c r="Z183" s="135" t="e">
        <f>IF(Z48&gt;=Z49,"OK","BŁĄD")</f>
        <v>#REF!</v>
      </c>
      <c r="AA183" s="135" t="e">
        <f>IF(AA48&gt;=AA49,"OK","BŁĄD")</f>
        <v>#REF!</v>
      </c>
      <c r="AB183" s="135" t="e">
        <f>IF(AB48&gt;=AB49,"OK","BŁĄD")</f>
        <v>#REF!</v>
      </c>
      <c r="AC183" s="135" t="e">
        <f>IF(AC48&gt;=AC49,"OK","BŁĄD")</f>
        <v>#REF!</v>
      </c>
      <c r="AD183" s="135" t="e">
        <f>IF(AD48&gt;=AD49,"OK","BŁĄD")</f>
        <v>#REF!</v>
      </c>
      <c r="AE183" s="135" t="e">
        <f>IF(AE48&gt;=AE49,"OK","BŁĄD")</f>
        <v>#REF!</v>
      </c>
      <c r="AF183" s="135" t="e">
        <f>IF(AF48&gt;=AF49,"OK","BŁĄD")</f>
        <v>#REF!</v>
      </c>
      <c r="AG183" s="135" t="e">
        <f>IF(AG48&gt;=AG49,"OK","BŁĄD")</f>
        <v>#REF!</v>
      </c>
      <c r="AH183" s="135" t="e">
        <f>IF(AH48&gt;=AH49,"OK","BŁĄD")</f>
        <v>#REF!</v>
      </c>
      <c r="AI183" s="135" t="e">
        <f>IF(AI48&gt;=AI49,"OK","BŁĄD")</f>
        <v>#REF!</v>
      </c>
      <c r="AJ183" s="135" t="e">
        <f>IF(AJ48&gt;=AJ49,"OK","BŁĄD")</f>
        <v>#REF!</v>
      </c>
      <c r="AK183" s="135" t="e">
        <f>IF(AK48&gt;=AK49,"OK","BŁĄD")</f>
        <v>#REF!</v>
      </c>
      <c r="AL183" s="337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36"/>
      <c r="C184" s="129" t="s">
        <v>396</v>
      </c>
      <c r="D184" s="142" t="s">
        <v>397</v>
      </c>
      <c r="E184" s="131" t="s">
        <v>8</v>
      </c>
      <c r="F184" s="132" t="s">
        <v>8</v>
      </c>
      <c r="G184" s="132" t="s">
        <v>8</v>
      </c>
      <c r="H184" s="133" t="s">
        <v>8</v>
      </c>
      <c r="I184" s="134">
        <f>IF(I48&gt;=I105,"OK","BŁĄD")</f>
        <v>0</v>
      </c>
      <c r="J184" s="135">
        <f>IF(J48&gt;=J105,"OK","BŁĄD")</f>
        <v>0</v>
      </c>
      <c r="K184" s="135">
        <f>IF(K48&gt;=K105,"OK","BŁĄD")</f>
        <v>0</v>
      </c>
      <c r="L184" s="135">
        <f>IF(L48&gt;=L105,"OK","BŁĄD")</f>
        <v>0</v>
      </c>
      <c r="M184" s="135">
        <f>IF(M48&gt;=M105,"OK","BŁĄD")</f>
        <v>0</v>
      </c>
      <c r="N184" s="135">
        <f>IF(N48&gt;=N105,"OK","BŁĄD")</f>
        <v>0</v>
      </c>
      <c r="O184" s="135">
        <f>IF(O48&gt;=O105,"OK","BŁĄD")</f>
        <v>0</v>
      </c>
      <c r="P184" s="135">
        <f>IF(P48&gt;=P105,"OK","BŁĄD")</f>
        <v>0</v>
      </c>
      <c r="Q184" s="135">
        <f>IF(Q48&gt;=Q105,"OK","BŁĄD")</f>
        <v>0</v>
      </c>
      <c r="R184" s="135" t="e">
        <f>IF(R48&gt;=R105,"OK","BŁĄD")</f>
        <v>#REF!</v>
      </c>
      <c r="S184" s="135" t="e">
        <f>IF(S48&gt;=S105,"OK","BŁĄD")</f>
        <v>#REF!</v>
      </c>
      <c r="T184" s="135" t="e">
        <f>IF(T48&gt;=T105,"OK","BŁĄD")</f>
        <v>#REF!</v>
      </c>
      <c r="U184" s="135" t="e">
        <f>IF(U48&gt;=U105,"OK","BŁĄD")</f>
        <v>#REF!</v>
      </c>
      <c r="V184" s="135" t="e">
        <f>IF(V48&gt;=V105,"OK","BŁĄD")</f>
        <v>#REF!</v>
      </c>
      <c r="W184" s="135" t="e">
        <f>IF(W48&gt;=W105,"OK","BŁĄD")</f>
        <v>#REF!</v>
      </c>
      <c r="X184" s="135" t="e">
        <f>IF(X48&gt;=X105,"OK","BŁĄD")</f>
        <v>#REF!</v>
      </c>
      <c r="Y184" s="135" t="e">
        <f>IF(Y48&gt;=Y105,"OK","BŁĄD")</f>
        <v>#REF!</v>
      </c>
      <c r="Z184" s="135" t="e">
        <f>IF(Z48&gt;=Z105,"OK","BŁĄD")</f>
        <v>#REF!</v>
      </c>
      <c r="AA184" s="135" t="e">
        <f>IF(AA48&gt;=AA105,"OK","BŁĄD")</f>
        <v>#REF!</v>
      </c>
      <c r="AB184" s="135" t="e">
        <f>IF(AB48&gt;=AB105,"OK","BŁĄD")</f>
        <v>#REF!</v>
      </c>
      <c r="AC184" s="135" t="e">
        <f>IF(AC48&gt;=AC105,"OK","BŁĄD")</f>
        <v>#REF!</v>
      </c>
      <c r="AD184" s="135" t="e">
        <f>IF(AD48&gt;=AD105,"OK","BŁĄD")</f>
        <v>#REF!</v>
      </c>
      <c r="AE184" s="135" t="e">
        <f>IF(AE48&gt;=AE105,"OK","BŁĄD")</f>
        <v>#REF!</v>
      </c>
      <c r="AF184" s="135" t="e">
        <f>IF(AF48&gt;=AF105,"OK","BŁĄD")</f>
        <v>#REF!</v>
      </c>
      <c r="AG184" s="135" t="e">
        <f>IF(AG48&gt;=AG105,"OK","BŁĄD")</f>
        <v>#REF!</v>
      </c>
      <c r="AH184" s="135" t="e">
        <f>IF(AH48&gt;=AH105,"OK","BŁĄD")</f>
        <v>#REF!</v>
      </c>
      <c r="AI184" s="135" t="e">
        <f>IF(AI48&gt;=AI105,"OK","BŁĄD")</f>
        <v>#REF!</v>
      </c>
      <c r="AJ184" s="135" t="e">
        <f>IF(AJ48&gt;=AJ105,"OK","BŁĄD")</f>
        <v>#REF!</v>
      </c>
      <c r="AK184" s="135" t="e">
        <f>IF(AK48&gt;=AK105,"OK","BŁĄD")</f>
        <v>#REF!</v>
      </c>
      <c r="AL184" s="337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36"/>
      <c r="C185" s="129" t="s">
        <v>398</v>
      </c>
      <c r="D185" s="142" t="s">
        <v>399</v>
      </c>
      <c r="E185" s="131" t="s">
        <v>8</v>
      </c>
      <c r="F185" s="132" t="s">
        <v>8</v>
      </c>
      <c r="G185" s="132" t="s">
        <v>8</v>
      </c>
      <c r="H185" s="133" t="s">
        <v>8</v>
      </c>
      <c r="I185" s="134">
        <f>IF(I49&gt;=I96,"OK","BŁĄD")</f>
        <v>0</v>
      </c>
      <c r="J185" s="135">
        <f>IF(J49&gt;=J96,"OK","BŁĄD")</f>
        <v>0</v>
      </c>
      <c r="K185" s="135">
        <f>IF(K49&gt;=K96,"OK","BŁĄD")</f>
        <v>0</v>
      </c>
      <c r="L185" s="135">
        <f>IF(L49&gt;=L96,"OK","BŁĄD")</f>
        <v>0</v>
      </c>
      <c r="M185" s="135">
        <f>IF(M49&gt;=M96,"OK","BŁĄD")</f>
        <v>0</v>
      </c>
      <c r="N185" s="135">
        <f>IF(N49&gt;=N96,"OK","BŁĄD")</f>
        <v>0</v>
      </c>
      <c r="O185" s="135">
        <f>IF(O49&gt;=O96,"OK","BŁĄD")</f>
        <v>0</v>
      </c>
      <c r="P185" s="135">
        <f>IF(P49&gt;=P96,"OK","BŁĄD")</f>
        <v>0</v>
      </c>
      <c r="Q185" s="135">
        <f>IF(Q49&gt;=Q96,"OK","BŁĄD")</f>
        <v>0</v>
      </c>
      <c r="R185" s="135" t="e">
        <f>IF(R49&gt;=R96,"OK","BŁĄD")</f>
        <v>#REF!</v>
      </c>
      <c r="S185" s="135" t="e">
        <f>IF(S49&gt;=S96,"OK","BŁĄD")</f>
        <v>#REF!</v>
      </c>
      <c r="T185" s="135" t="e">
        <f>IF(T49&gt;=T96,"OK","BŁĄD")</f>
        <v>#REF!</v>
      </c>
      <c r="U185" s="135" t="e">
        <f>IF(U49&gt;=U96,"OK","BŁĄD")</f>
        <v>#REF!</v>
      </c>
      <c r="V185" s="135" t="e">
        <f>IF(V49&gt;=V96,"OK","BŁĄD")</f>
        <v>#REF!</v>
      </c>
      <c r="W185" s="135" t="e">
        <f>IF(W49&gt;=W96,"OK","BŁĄD")</f>
        <v>#REF!</v>
      </c>
      <c r="X185" s="135" t="e">
        <f>IF(X49&gt;=X96,"OK","BŁĄD")</f>
        <v>#REF!</v>
      </c>
      <c r="Y185" s="135" t="e">
        <f>IF(Y49&gt;=Y96,"OK","BŁĄD")</f>
        <v>#REF!</v>
      </c>
      <c r="Z185" s="135" t="e">
        <f>IF(Z49&gt;=Z96,"OK","BŁĄD")</f>
        <v>#REF!</v>
      </c>
      <c r="AA185" s="135" t="e">
        <f>IF(AA49&gt;=AA96,"OK","BŁĄD")</f>
        <v>#REF!</v>
      </c>
      <c r="AB185" s="135" t="e">
        <f>IF(AB49&gt;=AB96,"OK","BŁĄD")</f>
        <v>#REF!</v>
      </c>
      <c r="AC185" s="135" t="e">
        <f>IF(AC49&gt;=AC96,"OK","BŁĄD")</f>
        <v>#REF!</v>
      </c>
      <c r="AD185" s="135" t="e">
        <f>IF(AD49&gt;=AD96,"OK","BŁĄD")</f>
        <v>#REF!</v>
      </c>
      <c r="AE185" s="135" t="e">
        <f>IF(AE49&gt;=AE96,"OK","BŁĄD")</f>
        <v>#REF!</v>
      </c>
      <c r="AF185" s="135" t="e">
        <f>IF(AF49&gt;=AF96,"OK","BŁĄD")</f>
        <v>#REF!</v>
      </c>
      <c r="AG185" s="135" t="e">
        <f>IF(AG49&gt;=AG96,"OK","BŁĄD")</f>
        <v>#REF!</v>
      </c>
      <c r="AH185" s="135" t="e">
        <f>IF(AH49&gt;=AH96,"OK","BŁĄD")</f>
        <v>#REF!</v>
      </c>
      <c r="AI185" s="135" t="e">
        <f>IF(AI49&gt;=AI96,"OK","BŁĄD")</f>
        <v>#REF!</v>
      </c>
      <c r="AJ185" s="135" t="e">
        <f>IF(AJ49&gt;=AJ96,"OK","BŁĄD")</f>
        <v>#REF!</v>
      </c>
      <c r="AK185" s="135" t="e">
        <f>IF(AK49&gt;=AK96,"OK","BŁĄD")</f>
        <v>#REF!</v>
      </c>
      <c r="AL185" s="337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41"/>
      <c r="C186" s="146" t="s">
        <v>400</v>
      </c>
      <c r="D186" s="147" t="s">
        <v>401</v>
      </c>
      <c r="E186" s="148" t="s">
        <v>8</v>
      </c>
      <c r="F186" s="149" t="s">
        <v>8</v>
      </c>
      <c r="G186" s="149" t="s">
        <v>8</v>
      </c>
      <c r="H186" s="150" t="s">
        <v>8</v>
      </c>
      <c r="I186" s="151">
        <f>IF(I26&lt;&gt;0,IF(I27&lt;&gt;0,"OK","BŁĄD"),"N/D")</f>
        <v>0</v>
      </c>
      <c r="J186" s="152">
        <f>IF(J26&lt;&gt;0,IF(J27&lt;&gt;0,"OK","BŁĄD"),"N/D")</f>
        <v>0</v>
      </c>
      <c r="K186" s="152">
        <f>IF(K26&lt;&gt;0,IF(K27&lt;&gt;0,"OK","BŁĄD"),"N/D")</f>
        <v>0</v>
      </c>
      <c r="L186" s="152">
        <f>IF(L26&lt;&gt;0,IF(L27&lt;&gt;0,"OK","BŁĄD"),"N/D")</f>
        <v>0</v>
      </c>
      <c r="M186" s="152">
        <f>IF(M26&lt;&gt;0,IF(M27&lt;&gt;0,"OK","BŁĄD"),"N/D")</f>
        <v>0</v>
      </c>
      <c r="N186" s="152">
        <f>IF(N26&lt;&gt;0,IF(N27&lt;&gt;0,"OK","BŁĄD"),"N/D")</f>
        <v>0</v>
      </c>
      <c r="O186" s="152">
        <f>IF(O26&lt;&gt;0,IF(O27&lt;&gt;0,"OK","BŁĄD"),"N/D")</f>
        <v>0</v>
      </c>
      <c r="P186" s="152">
        <f>IF(P26&lt;&gt;0,IF(P27&lt;&gt;0,"OK","BŁĄD"),"N/D")</f>
        <v>0</v>
      </c>
      <c r="Q186" s="152">
        <f>IF(Q26&lt;&gt;0,IF(Q27&lt;&gt;0,"OK","BŁĄD"),"N/D")</f>
        <v>0</v>
      </c>
      <c r="R186" s="152" t="e">
        <f>IF(R26&lt;&gt;0,IF(R27&lt;&gt;0,"OK","BŁĄD"),"N/D")</f>
        <v>#REF!</v>
      </c>
      <c r="S186" s="152" t="e">
        <f>IF(S26&lt;&gt;0,IF(S27&lt;&gt;0,"OK","BŁĄD"),"N/D")</f>
        <v>#REF!</v>
      </c>
      <c r="T186" s="152" t="e">
        <f>IF(T26&lt;&gt;0,IF(T27&lt;&gt;0,"OK","BŁĄD"),"N/D")</f>
        <v>#REF!</v>
      </c>
      <c r="U186" s="152" t="e">
        <f>IF(U26&lt;&gt;0,IF(U27&lt;&gt;0,"OK","BŁĄD"),"N/D")</f>
        <v>#REF!</v>
      </c>
      <c r="V186" s="152" t="e">
        <f>IF(V26&lt;&gt;0,IF(V27&lt;&gt;0,"OK","BŁĄD"),"N/D")</f>
        <v>#REF!</v>
      </c>
      <c r="W186" s="152" t="e">
        <f>IF(W26&lt;&gt;0,IF(W27&lt;&gt;0,"OK","BŁĄD"),"N/D")</f>
        <v>#REF!</v>
      </c>
      <c r="X186" s="152" t="e">
        <f>IF(X26&lt;&gt;0,IF(X27&lt;&gt;0,"OK","BŁĄD"),"N/D")</f>
        <v>#REF!</v>
      </c>
      <c r="Y186" s="152" t="e">
        <f>IF(Y26&lt;&gt;0,IF(Y27&lt;&gt;0,"OK","BŁĄD"),"N/D")</f>
        <v>#REF!</v>
      </c>
      <c r="Z186" s="152" t="e">
        <f>IF(Z26&lt;&gt;0,IF(Z27&lt;&gt;0,"OK","BŁĄD"),"N/D")</f>
        <v>#REF!</v>
      </c>
      <c r="AA186" s="152" t="e">
        <f>IF(AA26&lt;&gt;0,IF(AA27&lt;&gt;0,"OK","BŁĄD"),"N/D")</f>
        <v>#REF!</v>
      </c>
      <c r="AB186" s="152" t="e">
        <f>IF(AB26&lt;&gt;0,IF(AB27&lt;&gt;0,"OK","BŁĄD"),"N/D")</f>
        <v>#REF!</v>
      </c>
      <c r="AC186" s="152" t="e">
        <f>IF(AC26&lt;&gt;0,IF(AC27&lt;&gt;0,"OK","BŁĄD"),"N/D")</f>
        <v>#REF!</v>
      </c>
      <c r="AD186" s="152" t="e">
        <f>IF(AD26&lt;&gt;0,IF(AD27&lt;&gt;0,"OK","BŁĄD"),"N/D")</f>
        <v>#REF!</v>
      </c>
      <c r="AE186" s="152" t="e">
        <f>IF(AE26&lt;&gt;0,IF(AE27&lt;&gt;0,"OK","BŁĄD"),"N/D")</f>
        <v>#REF!</v>
      </c>
      <c r="AF186" s="152" t="e">
        <f>IF(AF26&lt;&gt;0,IF(AF27&lt;&gt;0,"OK","BŁĄD"),"N/D")</f>
        <v>#REF!</v>
      </c>
      <c r="AG186" s="152" t="e">
        <f>IF(AG26&lt;&gt;0,IF(AG27&lt;&gt;0,"OK","BŁĄD"),"N/D")</f>
        <v>#REF!</v>
      </c>
      <c r="AH186" s="152" t="e">
        <f>IF(AH26&lt;&gt;0,IF(AH27&lt;&gt;0,"OK","BŁĄD"),"N/D")</f>
        <v>#REF!</v>
      </c>
      <c r="AI186" s="152" t="e">
        <f>IF(AI26&lt;&gt;0,IF(AI27&lt;&gt;0,"OK","BŁĄD"),"N/D")</f>
        <v>#REF!</v>
      </c>
      <c r="AJ186" s="152" t="e">
        <f>IF(AJ26&lt;&gt;0,IF(AJ27&lt;&gt;0,"OK","BŁĄD"),"N/D")</f>
        <v>#REF!</v>
      </c>
      <c r="AK186" s="152" t="e">
        <f>IF(AK26&lt;&gt;0,IF(AK27&lt;&gt;0,"OK","BŁĄD"),"N/D")</f>
        <v>#REF!</v>
      </c>
      <c r="AL186" s="342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3"/>
      <c r="C187" s="153"/>
      <c r="D187" s="153"/>
      <c r="E187" s="154"/>
      <c r="F187" s="154"/>
      <c r="G187" s="154"/>
      <c r="H187" s="154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3"/>
      <c r="C188" s="153"/>
      <c r="D188" s="119" t="s">
        <v>402</v>
      </c>
      <c r="E188" s="154"/>
      <c r="F188" s="154"/>
      <c r="G188" s="154"/>
      <c r="H188" s="154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6"/>
      <c r="C189" s="157"/>
      <c r="D189" s="158" t="s">
        <v>403</v>
      </c>
      <c r="E189" s="159">
        <f>E11+E18</f>
        <v>36897999.47</v>
      </c>
      <c r="F189" s="160">
        <f>F11+F18</f>
        <v>38775186.080000006</v>
      </c>
      <c r="G189" s="160">
        <f>G11+G18</f>
        <v>36552514.89</v>
      </c>
      <c r="H189" s="161">
        <f>H11+H18</f>
        <v>37229518.089999996</v>
      </c>
      <c r="I189" s="162">
        <f>I11+I18</f>
        <v>40703030.39</v>
      </c>
      <c r="J189" s="163">
        <f>J11+J18</f>
        <v>39352887.87</v>
      </c>
      <c r="K189" s="163">
        <f>K11+K18</f>
        <v>39000000</v>
      </c>
      <c r="L189" s="163">
        <f>L11+L18</f>
        <v>40000000</v>
      </c>
      <c r="M189" s="163">
        <f>M11+M18</f>
        <v>41000000</v>
      </c>
      <c r="N189" s="163">
        <f>N11+N18</f>
        <v>42000000</v>
      </c>
      <c r="O189" s="163">
        <f>O11+O18</f>
        <v>43000000</v>
      </c>
      <c r="P189" s="163">
        <f>P11+P18</f>
        <v>44000000</v>
      </c>
      <c r="Q189" s="163">
        <f>Q11+Q18</f>
        <v>45000000</v>
      </c>
      <c r="R189" s="163" t="e">
        <f>R11+R18</f>
        <v>#REF!</v>
      </c>
      <c r="S189" s="163" t="e">
        <f>S11+S18</f>
        <v>#REF!</v>
      </c>
      <c r="T189" s="163" t="e">
        <f>T11+T18</f>
        <v>#REF!</v>
      </c>
      <c r="U189" s="163" t="e">
        <f>U11+U18</f>
        <v>#REF!</v>
      </c>
      <c r="V189" s="163" t="e">
        <f>V11+V18</f>
        <v>#REF!</v>
      </c>
      <c r="W189" s="163" t="e">
        <f>W11+W18</f>
        <v>#REF!</v>
      </c>
      <c r="X189" s="163" t="e">
        <f>X11+X18</f>
        <v>#REF!</v>
      </c>
      <c r="Y189" s="163" t="e">
        <f>Y11+Y18</f>
        <v>#REF!</v>
      </c>
      <c r="Z189" s="163" t="e">
        <f>Z11+Z18</f>
        <v>#REF!</v>
      </c>
      <c r="AA189" s="163" t="e">
        <f>AA11+AA18</f>
        <v>#REF!</v>
      </c>
      <c r="AB189" s="163" t="e">
        <f>AB11+AB18</f>
        <v>#REF!</v>
      </c>
      <c r="AC189" s="163" t="e">
        <f>AC11+AC18</f>
        <v>#REF!</v>
      </c>
      <c r="AD189" s="163" t="e">
        <f>AD11+AD18</f>
        <v>#REF!</v>
      </c>
      <c r="AE189" s="163" t="e">
        <f>AE11+AE18</f>
        <v>#REF!</v>
      </c>
      <c r="AF189" s="163" t="e">
        <f>AF11+AF18</f>
        <v>#REF!</v>
      </c>
      <c r="AG189" s="163" t="e">
        <f>AG11+AG18</f>
        <v>#REF!</v>
      </c>
      <c r="AH189" s="163" t="e">
        <f>AH11+AH18</f>
        <v>#REF!</v>
      </c>
      <c r="AI189" s="163" t="e">
        <f>AI11+AI18</f>
        <v>#REF!</v>
      </c>
      <c r="AJ189" s="163" t="e">
        <f>AJ11+AJ18</f>
        <v>#REF!</v>
      </c>
      <c r="AK189" s="163" t="e">
        <f>AK11+AK18</f>
        <v>#REF!</v>
      </c>
      <c r="AL189" s="343" t="e">
        <f>AL11+AL18</f>
        <v>#REF!</v>
      </c>
      <c r="AM189" s="156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6"/>
      <c r="C190" s="157"/>
      <c r="D190" s="164" t="s">
        <v>404</v>
      </c>
      <c r="E190" s="165">
        <f>E22+E30</f>
        <v>37003938.3</v>
      </c>
      <c r="F190" s="166">
        <f>F22+F30</f>
        <v>37365699.93</v>
      </c>
      <c r="G190" s="166">
        <f>G22+G30</f>
        <v>42482913.269999996</v>
      </c>
      <c r="H190" s="167">
        <f>H22+H30</f>
        <v>39803316.09</v>
      </c>
      <c r="I190" s="168">
        <f>I22+I30</f>
        <v>42706938.769999996</v>
      </c>
      <c r="J190" s="169">
        <f>J22+J30</f>
        <v>37874683.87</v>
      </c>
      <c r="K190" s="169">
        <f>K22+K30</f>
        <v>37321796</v>
      </c>
      <c r="L190" s="169">
        <f>L22+L30</f>
        <v>38139996</v>
      </c>
      <c r="M190" s="169">
        <f>M22+M30</f>
        <v>38789996</v>
      </c>
      <c r="N190" s="169">
        <f>N22+N30</f>
        <v>39789996</v>
      </c>
      <c r="O190" s="169">
        <f>O22+O30</f>
        <v>40749996</v>
      </c>
      <c r="P190" s="169">
        <f>P22+P30</f>
        <v>41582000</v>
      </c>
      <c r="Q190" s="169">
        <f>Q22+Q30</f>
        <v>42934308</v>
      </c>
      <c r="R190" s="169" t="e">
        <f>R22+R30</f>
        <v>#REF!</v>
      </c>
      <c r="S190" s="169" t="e">
        <f>S22+S30</f>
        <v>#REF!</v>
      </c>
      <c r="T190" s="169" t="e">
        <f>T22+T30</f>
        <v>#REF!</v>
      </c>
      <c r="U190" s="169" t="e">
        <f>U22+U30</f>
        <v>#REF!</v>
      </c>
      <c r="V190" s="169" t="e">
        <f>V22+V30</f>
        <v>#REF!</v>
      </c>
      <c r="W190" s="169" t="e">
        <f>W22+W30</f>
        <v>#REF!</v>
      </c>
      <c r="X190" s="169" t="e">
        <f>X22+X30</f>
        <v>#REF!</v>
      </c>
      <c r="Y190" s="169" t="e">
        <f>Y22+Y30</f>
        <v>#REF!</v>
      </c>
      <c r="Z190" s="169" t="e">
        <f>Z22+Z30</f>
        <v>#REF!</v>
      </c>
      <c r="AA190" s="169" t="e">
        <f>AA22+AA30</f>
        <v>#REF!</v>
      </c>
      <c r="AB190" s="169" t="e">
        <f>AB22+AB30</f>
        <v>#REF!</v>
      </c>
      <c r="AC190" s="169" t="e">
        <f>AC22+AC30</f>
        <v>#REF!</v>
      </c>
      <c r="AD190" s="169" t="e">
        <f>AD22+AD30</f>
        <v>#REF!</v>
      </c>
      <c r="AE190" s="169" t="e">
        <f>AE22+AE30</f>
        <v>#REF!</v>
      </c>
      <c r="AF190" s="169" t="e">
        <f>AF22+AF30</f>
        <v>#REF!</v>
      </c>
      <c r="AG190" s="169" t="e">
        <f>AG22+AG30</f>
        <v>#REF!</v>
      </c>
      <c r="AH190" s="169" t="e">
        <f>AH22+AH30</f>
        <v>#REF!</v>
      </c>
      <c r="AI190" s="169" t="e">
        <f>AI22+AI30</f>
        <v>#REF!</v>
      </c>
      <c r="AJ190" s="169" t="e">
        <f>AJ22+AJ30</f>
        <v>#REF!</v>
      </c>
      <c r="AK190" s="169" t="e">
        <f>AK22+AK30</f>
        <v>#REF!</v>
      </c>
      <c r="AL190" s="344" t="e">
        <f>AL22+AL30</f>
        <v>#REF!</v>
      </c>
      <c r="AM190" s="156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6"/>
      <c r="C191" s="157"/>
      <c r="D191" s="164" t="s">
        <v>405</v>
      </c>
      <c r="E191" s="165">
        <f>E10-E21</f>
        <v>-105938.82999999821</v>
      </c>
      <c r="F191" s="166">
        <f>F10-F21</f>
        <v>1409486.1499999985</v>
      </c>
      <c r="G191" s="166">
        <f>G10-G21</f>
        <v>-5930398.380000003</v>
      </c>
      <c r="H191" s="167">
        <f>H10-H21</f>
        <v>-2573798.0000000075</v>
      </c>
      <c r="I191" s="168">
        <f>I10-I21</f>
        <v>-2003908.3799999952</v>
      </c>
      <c r="J191" s="169">
        <f>J10-J21</f>
        <v>1478204</v>
      </c>
      <c r="K191" s="169">
        <f>K10-K21</f>
        <v>1678204</v>
      </c>
      <c r="L191" s="169">
        <f>L10-L21</f>
        <v>1860004</v>
      </c>
      <c r="M191" s="169">
        <f>M10-M21</f>
        <v>2210004</v>
      </c>
      <c r="N191" s="169">
        <f>N10-N21</f>
        <v>2210004</v>
      </c>
      <c r="O191" s="169">
        <f>O10-O21</f>
        <v>2250004</v>
      </c>
      <c r="P191" s="169">
        <f>P10-P21</f>
        <v>2418000</v>
      </c>
      <c r="Q191" s="169">
        <f>Q10-Q21</f>
        <v>2065692</v>
      </c>
      <c r="R191" s="169" t="e">
        <f>R10-R21</f>
        <v>#REF!</v>
      </c>
      <c r="S191" s="169" t="e">
        <f>S10-S21</f>
        <v>#REF!</v>
      </c>
      <c r="T191" s="169" t="e">
        <f>T10-T21</f>
        <v>#REF!</v>
      </c>
      <c r="U191" s="169" t="e">
        <f>U10-U21</f>
        <v>#REF!</v>
      </c>
      <c r="V191" s="169" t="e">
        <f>V10-V21</f>
        <v>#REF!</v>
      </c>
      <c r="W191" s="169" t="e">
        <f>W10-W21</f>
        <v>#REF!</v>
      </c>
      <c r="X191" s="169" t="e">
        <f>X10-X21</f>
        <v>#REF!</v>
      </c>
      <c r="Y191" s="169" t="e">
        <f>Y10-Y21</f>
        <v>#REF!</v>
      </c>
      <c r="Z191" s="169" t="e">
        <f>Z10-Z21</f>
        <v>#REF!</v>
      </c>
      <c r="AA191" s="169" t="e">
        <f>AA10-AA21</f>
        <v>#REF!</v>
      </c>
      <c r="AB191" s="169" t="e">
        <f>AB10-AB21</f>
        <v>#REF!</v>
      </c>
      <c r="AC191" s="169" t="e">
        <f>AC10-AC21</f>
        <v>#REF!</v>
      </c>
      <c r="AD191" s="169" t="e">
        <f>AD10-AD21</f>
        <v>#REF!</v>
      </c>
      <c r="AE191" s="169" t="e">
        <f>AE10-AE21</f>
        <v>#REF!</v>
      </c>
      <c r="AF191" s="169" t="e">
        <f>AF10-AF21</f>
        <v>#REF!</v>
      </c>
      <c r="AG191" s="169" t="e">
        <f>AG10-AG21</f>
        <v>#REF!</v>
      </c>
      <c r="AH191" s="169" t="e">
        <f>AH10-AH21</f>
        <v>#REF!</v>
      </c>
      <c r="AI191" s="169" t="e">
        <f>AI10-AI21</f>
        <v>#REF!</v>
      </c>
      <c r="AJ191" s="169" t="e">
        <f>AJ10-AJ21</f>
        <v>#REF!</v>
      </c>
      <c r="AK191" s="169" t="e">
        <f>AK10-AK21</f>
        <v>#REF!</v>
      </c>
      <c r="AL191" s="344" t="e">
        <f>AL10-AL21</f>
        <v>#REF!</v>
      </c>
      <c r="AM191" s="156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6"/>
      <c r="C192" s="157"/>
      <c r="D192" s="170" t="s">
        <v>406</v>
      </c>
      <c r="E192" s="171" t="s">
        <v>8</v>
      </c>
      <c r="F192" s="166">
        <f>E48+F37-F42+(F105-E105)+F110</f>
        <v>15984842.88</v>
      </c>
      <c r="G192" s="172" t="s">
        <v>8</v>
      </c>
      <c r="H192" s="167">
        <f>F48+H37-H42+(H105-F105)+H110</f>
        <v>16570116</v>
      </c>
      <c r="I192" s="168">
        <f>H48+I37-I42+(I105-H105)+I110</f>
        <v>16170116</v>
      </c>
      <c r="J192" s="169">
        <f>I48+J37-J42+(J105-I105)+J110</f>
        <v>14691912</v>
      </c>
      <c r="K192" s="169">
        <f>J48+K37-K42+(K105-J105)+K110</f>
        <v>13013708</v>
      </c>
      <c r="L192" s="169">
        <f>K48+L37-L42+(L105-K105)+L110</f>
        <v>11153704</v>
      </c>
      <c r="M192" s="169">
        <f>L48+M37-M42+(M105-L105)+M110</f>
        <v>8943700</v>
      </c>
      <c r="N192" s="169">
        <f>M48+N37-N42+(N105-M105)+N110</f>
        <v>6733696</v>
      </c>
      <c r="O192" s="169">
        <f>N48+O37-O42+(O105-N105)+O110</f>
        <v>4483692</v>
      </c>
      <c r="P192" s="169">
        <f>O48+P37-P42+(P105-O105)+P110</f>
        <v>2065692</v>
      </c>
      <c r="Q192" s="169">
        <f>P48+Q37-Q42+(Q105-P105)+Q110</f>
        <v>0</v>
      </c>
      <c r="R192" s="169" t="e">
        <f>Q48+R37-R42+(R105-Q105)+R110</f>
        <v>#REF!</v>
      </c>
      <c r="S192" s="169" t="e">
        <f>R48+S37-S42+(S105-R105)+S110</f>
        <v>#REF!</v>
      </c>
      <c r="T192" s="169" t="e">
        <f>S48+T37-T42+(T105-S105)+T110</f>
        <v>#REF!</v>
      </c>
      <c r="U192" s="169" t="e">
        <f>T48+U37-U42+(U105-T105)+U110</f>
        <v>#REF!</v>
      </c>
      <c r="V192" s="169" t="e">
        <f>U48+V37-V42+(V105-U105)+V110</f>
        <v>#REF!</v>
      </c>
      <c r="W192" s="169" t="e">
        <f>V48+W37-W42+(W105-V105)+W110</f>
        <v>#REF!</v>
      </c>
      <c r="X192" s="169" t="e">
        <f>W48+X37-X42+(X105-W105)+X110</f>
        <v>#REF!</v>
      </c>
      <c r="Y192" s="169" t="e">
        <f>X48+Y37-Y42+(Y105-X105)+Y110</f>
        <v>#REF!</v>
      </c>
      <c r="Z192" s="169" t="e">
        <f>Y48+Z37-Z42+(Z105-Y105)+Z110</f>
        <v>#REF!</v>
      </c>
      <c r="AA192" s="169" t="e">
        <f>Z48+AA37-AA42+(AA105-Z105)+AA110</f>
        <v>#REF!</v>
      </c>
      <c r="AB192" s="169" t="e">
        <f>AA48+AB37-AB42+(AB105-AA105)+AB110</f>
        <v>#REF!</v>
      </c>
      <c r="AC192" s="169" t="e">
        <f>AB48+AC37-AC42+(AC105-AB105)+AC110</f>
        <v>#REF!</v>
      </c>
      <c r="AD192" s="169" t="e">
        <f>AC48+AD37-AD42+(AD105-AC105)+AD110</f>
        <v>#REF!</v>
      </c>
      <c r="AE192" s="169" t="e">
        <f>AD48+AE37-AE42+(AE105-AD105)+AE110</f>
        <v>#REF!</v>
      </c>
      <c r="AF192" s="169" t="e">
        <f>AE48+AF37-AF42+(AF105-AE105)+AF110</f>
        <v>#REF!</v>
      </c>
      <c r="AG192" s="169" t="e">
        <f>AF48+AG37-AG42+(AG105-AF105)+AG110</f>
        <v>#REF!</v>
      </c>
      <c r="AH192" s="169" t="e">
        <f>AG48+AH37-AH42+(AH105-AG105)+AH110</f>
        <v>#REF!</v>
      </c>
      <c r="AI192" s="169" t="e">
        <f>AH48+AI37-AI42+(AI105-AH105)+AI110</f>
        <v>#REF!</v>
      </c>
      <c r="AJ192" s="169" t="e">
        <f>AI48+AJ37-AJ42+(AJ105-AI105)+AJ110</f>
        <v>#REF!</v>
      </c>
      <c r="AK192" s="169" t="e">
        <f>AJ48+AK37-AK42+(AK105-AJ105)+AK110</f>
        <v>#REF!</v>
      </c>
      <c r="AL192" s="344" t="e">
        <f>AK48+AL37-AL42+(AL105-AK105)+AL110</f>
        <v>#REF!</v>
      </c>
      <c r="AM192" s="156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6"/>
      <c r="C193" s="157"/>
      <c r="D193" s="173" t="s">
        <v>407</v>
      </c>
      <c r="E193" s="174" t="s">
        <v>8</v>
      </c>
      <c r="F193" s="175">
        <f>E96-(F98+F99+F100+F101)</f>
        <v>0</v>
      </c>
      <c r="G193" s="176" t="s">
        <v>8</v>
      </c>
      <c r="H193" s="177">
        <f>F96-(H98+H99+H100+H101)</f>
        <v>0</v>
      </c>
      <c r="I193" s="178">
        <f>H96-(I98+I99+I100+I101)</f>
        <v>0</v>
      </c>
      <c r="J193" s="179">
        <f>I96-(J98+J99+J100+J101)</f>
        <v>0</v>
      </c>
      <c r="K193" s="179">
        <f>J96-(K98+K99+K100+K101)</f>
        <v>0</v>
      </c>
      <c r="L193" s="179">
        <f>K96-(L98+L99+L100+L101)</f>
        <v>0</v>
      </c>
      <c r="M193" s="179">
        <f>L96-(M98+M99+M100+M101)</f>
        <v>0</v>
      </c>
      <c r="N193" s="179">
        <f>M96-(N98+N99+N100+N101)</f>
        <v>0</v>
      </c>
      <c r="O193" s="179">
        <f>N96-(O98+O99+O100+O101)</f>
        <v>0</v>
      </c>
      <c r="P193" s="179">
        <f>O96-(P98+P99+P100+P101)</f>
        <v>0</v>
      </c>
      <c r="Q193" s="179">
        <f>P96-(Q98+Q99+Q100+Q101)</f>
        <v>0</v>
      </c>
      <c r="R193" s="179" t="e">
        <f>Q96-(R98+R99+R100+R101)</f>
        <v>#REF!</v>
      </c>
      <c r="S193" s="179" t="e">
        <f>R96-(S98+S99+S100+S101)</f>
        <v>#REF!</v>
      </c>
      <c r="T193" s="179" t="e">
        <f>S96-(T98+T99+T100+T101)</f>
        <v>#REF!</v>
      </c>
      <c r="U193" s="179" t="e">
        <f>T96-(U98+U99+U100+U101)</f>
        <v>#REF!</v>
      </c>
      <c r="V193" s="179" t="e">
        <f>U96-(V98+V99+V100+V101)</f>
        <v>#REF!</v>
      </c>
      <c r="W193" s="179" t="e">
        <f>V96-(W98+W99+W100+W101)</f>
        <v>#REF!</v>
      </c>
      <c r="X193" s="179" t="e">
        <f>W96-(X98+X99+X100+X101)</f>
        <v>#REF!</v>
      </c>
      <c r="Y193" s="179" t="e">
        <f>X96-(Y98+Y99+Y100+Y101)</f>
        <v>#REF!</v>
      </c>
      <c r="Z193" s="179" t="e">
        <f>Y96-(Z98+Z99+Z100+Z101)</f>
        <v>#REF!</v>
      </c>
      <c r="AA193" s="179" t="e">
        <f>Z96-(AA98+AA99+AA100+AA101)</f>
        <v>#REF!</v>
      </c>
      <c r="AB193" s="179" t="e">
        <f>AA96-(AB98+AB99+AB100+AB101)</f>
        <v>#REF!</v>
      </c>
      <c r="AC193" s="179" t="e">
        <f>AB96-(AC98+AC99+AC100+AC101)</f>
        <v>#REF!</v>
      </c>
      <c r="AD193" s="179" t="e">
        <f>AC96-(AD98+AD99+AD100+AD101)</f>
        <v>#REF!</v>
      </c>
      <c r="AE193" s="179" t="e">
        <f>AD96-(AE98+AE99+AE100+AE101)</f>
        <v>#REF!</v>
      </c>
      <c r="AF193" s="179" t="e">
        <f>AE96-(AF98+AF99+AF100+AF101)</f>
        <v>#REF!</v>
      </c>
      <c r="AG193" s="179" t="e">
        <f>AF96-(AG98+AG99+AG100+AG101)</f>
        <v>#REF!</v>
      </c>
      <c r="AH193" s="179" t="e">
        <f>AG96-(AH98+AH99+AH100+AH101)</f>
        <v>#REF!</v>
      </c>
      <c r="AI193" s="179" t="e">
        <f>AH96-(AI98+AI99+AI100+AI101)</f>
        <v>#REF!</v>
      </c>
      <c r="AJ193" s="179" t="e">
        <f>AI96-(AJ98+AJ99+AJ100+AJ101)</f>
        <v>#REF!</v>
      </c>
      <c r="AK193" s="179" t="e">
        <f>AJ96-(AK98+AK99+AK100+AK101)</f>
        <v>#REF!</v>
      </c>
      <c r="AL193" s="345" t="e">
        <f>AK96-(AL98+AL99+AL100+AL101)</f>
        <v>#REF!</v>
      </c>
      <c r="AM193" s="156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80"/>
      <c r="F194" s="180"/>
      <c r="G194" s="180"/>
      <c r="H194" s="18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1" t="s">
        <v>408</v>
      </c>
      <c r="E195" s="182"/>
      <c r="F195" s="182"/>
      <c r="G195" s="182"/>
      <c r="H195" s="18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3" t="s">
        <v>409</v>
      </c>
      <c r="E196" s="184"/>
      <c r="F196" s="184"/>
      <c r="G196" s="184"/>
      <c r="H196" s="18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5">
        <v>0</v>
      </c>
      <c r="E197" s="186">
        <f aca="true" t="shared" si="89" ref="E197:E199">+"różnica mniejsza od "&amp;TEXT(D197*100,"0,0")&amp;"%"</f>
        <v>0</v>
      </c>
      <c r="F197" s="187"/>
      <c r="G197" s="187"/>
      <c r="H197" s="187"/>
      <c r="I197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9">
        <v>0.005</v>
      </c>
      <c r="E198" s="186">
        <f t="shared" si="89"/>
        <v>0</v>
      </c>
      <c r="F198" s="187"/>
      <c r="G198" s="187"/>
      <c r="H198" s="187"/>
      <c r="I19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90">
        <v>0.01</v>
      </c>
      <c r="E199" s="186">
        <f t="shared" si="89"/>
        <v>0</v>
      </c>
      <c r="F199" s="187"/>
      <c r="G199" s="187"/>
      <c r="H199" s="187"/>
      <c r="I199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1" t="s">
        <v>410</v>
      </c>
      <c r="E200" s="192" t="s">
        <v>8</v>
      </c>
      <c r="F200" s="193" t="s">
        <v>8</v>
      </c>
      <c r="G200" s="193" t="s">
        <v>8</v>
      </c>
      <c r="H200" s="194" t="s">
        <v>8</v>
      </c>
      <c r="I200" s="195">
        <f>+IF(I10=0,"",I59-I54)</f>
        <v>0.021366666666666666</v>
      </c>
      <c r="J200" s="196">
        <f>+IF(J10=0,"",J59-J54)</f>
        <v>-0.00016666666666665525</v>
      </c>
      <c r="K200" s="196">
        <f>+IF(K10=0,"",K59-K54)</f>
        <v>-0.005999999999999998</v>
      </c>
      <c r="L200" s="196">
        <f>+IF(L10=0,"",L59-L54)</f>
        <v>0.004333333333333321</v>
      </c>
      <c r="M200" s="196">
        <f>+IF(M10=0,"",M59-M54)</f>
        <v>0.020866666666666672</v>
      </c>
      <c r="N200" s="196">
        <f>+IF(N10=0,"",N59-N54)</f>
        <v>0.03473333333333334</v>
      </c>
      <c r="O200" s="196">
        <f>+IF(O10=0,"",O59-O54)</f>
        <v>0.04706666666666667</v>
      </c>
      <c r="P200" s="196">
        <f>+IF(P10=0,"",P59-P54)</f>
        <v>0.055733333333333336</v>
      </c>
      <c r="Q200" s="196">
        <f>+IF(Q10=0,"",Q59-Q54)</f>
        <v>0.07586666666666664</v>
      </c>
      <c r="R200" s="196" t="e">
        <f>+IF(R10=0,"",R59-R54)</f>
        <v>#REF!</v>
      </c>
      <c r="S200" s="196" t="e">
        <f>+IF(S10=0,"",S59-S54)</f>
        <v>#REF!</v>
      </c>
      <c r="T200" s="196" t="e">
        <f>+IF(T10=0,"",T59-T54)</f>
        <v>#REF!</v>
      </c>
      <c r="U200" s="196" t="e">
        <f>+IF(U10=0,"",U59-U54)</f>
        <v>#REF!</v>
      </c>
      <c r="V200" s="196" t="e">
        <f>+IF(V10=0,"",V59-V54)</f>
        <v>#REF!</v>
      </c>
      <c r="W200" s="196" t="e">
        <f>+IF(W10=0,"",W59-W54)</f>
        <v>#REF!</v>
      </c>
      <c r="X200" s="196" t="e">
        <f>+IF(X10=0,"",X59-X54)</f>
        <v>#REF!</v>
      </c>
      <c r="Y200" s="196" t="e">
        <f>+IF(Y10=0,"",Y59-Y54)</f>
        <v>#REF!</v>
      </c>
      <c r="Z200" s="196" t="e">
        <f>+IF(Z10=0,"",Z59-Z54)</f>
        <v>#REF!</v>
      </c>
      <c r="AA200" s="196" t="e">
        <f>+IF(AA10=0,"",AA59-AA54)</f>
        <v>#REF!</v>
      </c>
      <c r="AB200" s="196" t="e">
        <f>+IF(AB10=0,"",AB59-AB54)</f>
        <v>#REF!</v>
      </c>
      <c r="AC200" s="196" t="e">
        <f>+IF(AC10=0,"",AC59-AC54)</f>
        <v>#REF!</v>
      </c>
      <c r="AD200" s="196" t="e">
        <f>+IF(AD10=0,"",AD59-AD54)</f>
        <v>#REF!</v>
      </c>
      <c r="AE200" s="196" t="e">
        <f>+IF(AE10=0,"",AE59-AE54)</f>
        <v>#REF!</v>
      </c>
      <c r="AF200" s="196" t="e">
        <f>+IF(AF10=0,"",AF59-AF54)</f>
        <v>#REF!</v>
      </c>
      <c r="AG200" s="196" t="e">
        <f>+IF(AG10=0,"",AG59-AG54)</f>
        <v>#REF!</v>
      </c>
      <c r="AH200" s="196" t="e">
        <f>+IF(AH10=0,"",AH59-AH54)</f>
        <v>#REF!</v>
      </c>
      <c r="AI200" s="196" t="e">
        <f>+IF(AI10=0,"",AI59-AI54)</f>
        <v>#REF!</v>
      </c>
      <c r="AJ200" s="196" t="e">
        <f>+IF(AJ10=0,"",AJ59-AJ54)</f>
        <v>#REF!</v>
      </c>
      <c r="AK200" s="196" t="e">
        <f>+IF(AK10=0,"",AK59-AK54)</f>
        <v>#REF!</v>
      </c>
      <c r="AL200" s="346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7" t="s">
        <v>411</v>
      </c>
      <c r="E201" s="198" t="s">
        <v>8</v>
      </c>
      <c r="F201" s="199" t="s">
        <v>8</v>
      </c>
      <c r="G201" s="199" t="s">
        <v>8</v>
      </c>
      <c r="H201" s="200" t="s">
        <v>8</v>
      </c>
      <c r="I201" s="201">
        <f>+IF(I10=0,"",I59-I55)</f>
        <v>0.021366666666666666</v>
      </c>
      <c r="J201" s="202">
        <f>+IF(J10=0,"",J59-J55)</f>
        <v>-0.00016666666666665525</v>
      </c>
      <c r="K201" s="202">
        <f>+IF(K10=0,"",K59-K55)</f>
        <v>-0.005999999999999998</v>
      </c>
      <c r="L201" s="202">
        <f>+IF(L10=0,"",L59-L55)</f>
        <v>0.004333333333333321</v>
      </c>
      <c r="M201" s="202">
        <f>+IF(M10=0,"",M59-M55)</f>
        <v>0.020866666666666672</v>
      </c>
      <c r="N201" s="202">
        <f>+IF(N10=0,"",N59-N55)</f>
        <v>0.03473333333333334</v>
      </c>
      <c r="O201" s="202">
        <f>+IF(O10=0,"",O59-O55)</f>
        <v>0.04706666666666667</v>
      </c>
      <c r="P201" s="202">
        <f>+IF(P10=0,"",P59-P55)</f>
        <v>0.055733333333333336</v>
      </c>
      <c r="Q201" s="202">
        <f>+IF(Q10=0,"",Q59-Q55)</f>
        <v>0.07586666666666664</v>
      </c>
      <c r="R201" s="202" t="e">
        <f>+IF(R10=0,"",R59-R55)</f>
        <v>#REF!</v>
      </c>
      <c r="S201" s="202" t="e">
        <f>+IF(S10=0,"",S59-S55)</f>
        <v>#REF!</v>
      </c>
      <c r="T201" s="202" t="e">
        <f>+IF(T10=0,"",T59-T55)</f>
        <v>#REF!</v>
      </c>
      <c r="U201" s="202" t="e">
        <f>+IF(U10=0,"",U59-U55)</f>
        <v>#REF!</v>
      </c>
      <c r="V201" s="202" t="e">
        <f>+IF(V10=0,"",V59-V55)</f>
        <v>#REF!</v>
      </c>
      <c r="W201" s="202" t="e">
        <f>+IF(W10=0,"",W59-W55)</f>
        <v>#REF!</v>
      </c>
      <c r="X201" s="202" t="e">
        <f>+IF(X10=0,"",X59-X55)</f>
        <v>#REF!</v>
      </c>
      <c r="Y201" s="202" t="e">
        <f>+IF(Y10=0,"",Y59-Y55)</f>
        <v>#REF!</v>
      </c>
      <c r="Z201" s="202" t="e">
        <f>+IF(Z10=0,"",Z59-Z55)</f>
        <v>#REF!</v>
      </c>
      <c r="AA201" s="202" t="e">
        <f>+IF(AA10=0,"",AA59-AA55)</f>
        <v>#REF!</v>
      </c>
      <c r="AB201" s="202" t="e">
        <f>+IF(AB10=0,"",AB59-AB55)</f>
        <v>#REF!</v>
      </c>
      <c r="AC201" s="202" t="e">
        <f>+IF(AC10=0,"",AC59-AC55)</f>
        <v>#REF!</v>
      </c>
      <c r="AD201" s="202" t="e">
        <f>+IF(AD10=0,"",AD59-AD55)</f>
        <v>#REF!</v>
      </c>
      <c r="AE201" s="202" t="e">
        <f>+IF(AE10=0,"",AE59-AE55)</f>
        <v>#REF!</v>
      </c>
      <c r="AF201" s="202" t="e">
        <f>+IF(AF10=0,"",AF59-AF55)</f>
        <v>#REF!</v>
      </c>
      <c r="AG201" s="202" t="e">
        <f>+IF(AG10=0,"",AG59-AG55)</f>
        <v>#REF!</v>
      </c>
      <c r="AH201" s="202" t="e">
        <f>+IF(AH10=0,"",AH59-AH55)</f>
        <v>#REF!</v>
      </c>
      <c r="AI201" s="202" t="e">
        <f>+IF(AI10=0,"",AI59-AI55)</f>
        <v>#REF!</v>
      </c>
      <c r="AJ201" s="202" t="e">
        <f>+IF(AJ10=0,"",AJ59-AJ55)</f>
        <v>#REF!</v>
      </c>
      <c r="AK201" s="202" t="e">
        <f>+IF(AK10=0,"",AK59-AK55)</f>
        <v>#REF!</v>
      </c>
      <c r="AL201" s="347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1" t="s">
        <v>412</v>
      </c>
      <c r="E202" s="192" t="s">
        <v>8</v>
      </c>
      <c r="F202" s="193" t="s">
        <v>8</v>
      </c>
      <c r="G202" s="193" t="s">
        <v>8</v>
      </c>
      <c r="H202" s="194" t="s">
        <v>8</v>
      </c>
      <c r="I202" s="195">
        <f>+IF(I10=0,"",I60-I54)</f>
        <v>0.029000000000000005</v>
      </c>
      <c r="J202" s="196">
        <f>+IF(J10=0,"",J60-J54)</f>
        <v>0.007400000000000004</v>
      </c>
      <c r="K202" s="196">
        <f>+IF(K10=0,"",K60-K54)</f>
        <v>0.0016000000000000042</v>
      </c>
      <c r="L202" s="196">
        <f>+IF(L10=0,"",L60-L54)</f>
        <v>0.004299999999999991</v>
      </c>
      <c r="M202" s="196">
        <f>+IF(M10=0,"",M60-M54)</f>
        <v>0.020899999999999988</v>
      </c>
      <c r="N202" s="196">
        <f>+IF(N10=0,"",N60-N54)</f>
        <v>0.034699999999999995</v>
      </c>
      <c r="O202" s="196">
        <f>+IF(O10=0,"",O60-O54)</f>
        <v>0.0471</v>
      </c>
      <c r="P202" s="196">
        <f>+IF(P10=0,"",P60-P54)</f>
        <v>0.055700000000000006</v>
      </c>
      <c r="Q202" s="196">
        <f>+IF(Q10=0,"",Q60-Q54)</f>
        <v>0.0759</v>
      </c>
      <c r="R202" s="196" t="e">
        <f>+IF(R10=0,"",R60-R54)</f>
        <v>#REF!</v>
      </c>
      <c r="S202" s="196" t="e">
        <f>+IF(S10=0,"",S60-S54)</f>
        <v>#REF!</v>
      </c>
      <c r="T202" s="196" t="e">
        <f>+IF(T10=0,"",T60-T54)</f>
        <v>#REF!</v>
      </c>
      <c r="U202" s="196" t="e">
        <f>+IF(U10=0,"",U60-U54)</f>
        <v>#REF!</v>
      </c>
      <c r="V202" s="196" t="e">
        <f>+IF(V10=0,"",V60-V54)</f>
        <v>#REF!</v>
      </c>
      <c r="W202" s="196" t="e">
        <f>+IF(W10=0,"",W60-W54)</f>
        <v>#REF!</v>
      </c>
      <c r="X202" s="196" t="e">
        <f>+IF(X10=0,"",X60-X54)</f>
        <v>#REF!</v>
      </c>
      <c r="Y202" s="196" t="e">
        <f>+IF(Y10=0,"",Y60-Y54)</f>
        <v>#REF!</v>
      </c>
      <c r="Z202" s="196" t="e">
        <f>+IF(Z10=0,"",Z60-Z54)</f>
        <v>#REF!</v>
      </c>
      <c r="AA202" s="196" t="e">
        <f>+IF(AA10=0,"",AA60-AA54)</f>
        <v>#REF!</v>
      </c>
      <c r="AB202" s="196" t="e">
        <f>+IF(AB10=0,"",AB60-AB54)</f>
        <v>#REF!</v>
      </c>
      <c r="AC202" s="196" t="e">
        <f>+IF(AC10=0,"",AC60-AC54)</f>
        <v>#REF!</v>
      </c>
      <c r="AD202" s="196" t="e">
        <f>+IF(AD10=0,"",AD60-AD54)</f>
        <v>#REF!</v>
      </c>
      <c r="AE202" s="196" t="e">
        <f>+IF(AE10=0,"",AE60-AE54)</f>
        <v>#REF!</v>
      </c>
      <c r="AF202" s="196" t="e">
        <f>+IF(AF10=0,"",AF60-AF54)</f>
        <v>#REF!</v>
      </c>
      <c r="AG202" s="196" t="e">
        <f>+IF(AG10=0,"",AG60-AG54)</f>
        <v>#REF!</v>
      </c>
      <c r="AH202" s="196" t="e">
        <f>+IF(AH10=0,"",AH60-AH54)</f>
        <v>#REF!</v>
      </c>
      <c r="AI202" s="196" t="e">
        <f>+IF(AI10=0,"",AI60-AI54)</f>
        <v>#REF!</v>
      </c>
      <c r="AJ202" s="196" t="e">
        <f>+IF(AJ10=0,"",AJ60-AJ54)</f>
        <v>#REF!</v>
      </c>
      <c r="AK202" s="196" t="e">
        <f>+IF(AK10=0,"",AK60-AK54)</f>
        <v>#REF!</v>
      </c>
      <c r="AL202" s="346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7" t="s">
        <v>413</v>
      </c>
      <c r="E203" s="198" t="s">
        <v>8</v>
      </c>
      <c r="F203" s="199" t="s">
        <v>8</v>
      </c>
      <c r="G203" s="199" t="s">
        <v>8</v>
      </c>
      <c r="H203" s="200" t="s">
        <v>8</v>
      </c>
      <c r="I203" s="201">
        <f>+IF(I10=0,"",I60-I55)</f>
        <v>0.029000000000000005</v>
      </c>
      <c r="J203" s="202">
        <f>+IF(J10=0,"",J60-J55)</f>
        <v>0.007400000000000004</v>
      </c>
      <c r="K203" s="202">
        <f>+IF(K10=0,"",K60-K55)</f>
        <v>0.0016000000000000042</v>
      </c>
      <c r="L203" s="202">
        <f>+IF(L10=0,"",L60-L55)</f>
        <v>0.004299999999999991</v>
      </c>
      <c r="M203" s="202">
        <f>+IF(M10=0,"",M60-M55)</f>
        <v>0.020899999999999988</v>
      </c>
      <c r="N203" s="202">
        <f>+IF(N10=0,"",N60-N55)</f>
        <v>0.034699999999999995</v>
      </c>
      <c r="O203" s="202">
        <f>+IF(O10=0,"",O60-O55)</f>
        <v>0.0471</v>
      </c>
      <c r="P203" s="202">
        <f>+IF(P10=0,"",P60-P55)</f>
        <v>0.055700000000000006</v>
      </c>
      <c r="Q203" s="202">
        <f>+IF(Q10=0,"",Q60-Q55)</f>
        <v>0.0759</v>
      </c>
      <c r="R203" s="202" t="e">
        <f>+IF(R10=0,"",R60-R55)</f>
        <v>#REF!</v>
      </c>
      <c r="S203" s="202" t="e">
        <f>+IF(S10=0,"",S60-S55)</f>
        <v>#REF!</v>
      </c>
      <c r="T203" s="202" t="e">
        <f>+IF(T10=0,"",T60-T55)</f>
        <v>#REF!</v>
      </c>
      <c r="U203" s="202" t="e">
        <f>+IF(U10=0,"",U60-U55)</f>
        <v>#REF!</v>
      </c>
      <c r="V203" s="202" t="e">
        <f>+IF(V10=0,"",V60-V55)</f>
        <v>#REF!</v>
      </c>
      <c r="W203" s="202" t="e">
        <f>+IF(W10=0,"",W60-W55)</f>
        <v>#REF!</v>
      </c>
      <c r="X203" s="202" t="e">
        <f>+IF(X10=0,"",X60-X55)</f>
        <v>#REF!</v>
      </c>
      <c r="Y203" s="202" t="e">
        <f>+IF(Y10=0,"",Y60-Y55)</f>
        <v>#REF!</v>
      </c>
      <c r="Z203" s="202" t="e">
        <f>+IF(Z10=0,"",Z60-Z55)</f>
        <v>#REF!</v>
      </c>
      <c r="AA203" s="202" t="e">
        <f>+IF(AA10=0,"",AA60-AA55)</f>
        <v>#REF!</v>
      </c>
      <c r="AB203" s="202" t="e">
        <f>+IF(AB10=0,"",AB60-AB55)</f>
        <v>#REF!</v>
      </c>
      <c r="AC203" s="202" t="e">
        <f>+IF(AC10=0,"",AC60-AC55)</f>
        <v>#REF!</v>
      </c>
      <c r="AD203" s="202" t="e">
        <f>+IF(AD10=0,"",AD60-AD55)</f>
        <v>#REF!</v>
      </c>
      <c r="AE203" s="202" t="e">
        <f>+IF(AE10=0,"",AE60-AE55)</f>
        <v>#REF!</v>
      </c>
      <c r="AF203" s="202" t="e">
        <f>+IF(AF10=0,"",AF60-AF55)</f>
        <v>#REF!</v>
      </c>
      <c r="AG203" s="202" t="e">
        <f>+IF(AG10=0,"",AG60-AG55)</f>
        <v>#REF!</v>
      </c>
      <c r="AH203" s="202" t="e">
        <f>+IF(AH10=0,"",AH60-AH55)</f>
        <v>#REF!</v>
      </c>
      <c r="AI203" s="202" t="e">
        <f>+IF(AI10=0,"",AI60-AI55)</f>
        <v>#REF!</v>
      </c>
      <c r="AJ203" s="202" t="e">
        <f>+IF(AJ10=0,"",AJ60-AJ55)</f>
        <v>#REF!</v>
      </c>
      <c r="AK203" s="202" t="e">
        <f>+IF(AK10=0,"",AK60-AK55)</f>
        <v>#REF!</v>
      </c>
      <c r="AL203" s="347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B1:Q115"/>
    </sheetView>
  </sheetViews>
  <sheetFormatPr defaultColWidth="8.796875" defaultRowHeight="14.25"/>
  <cols>
    <col min="1" max="1" width="4.5" style="348" customWidth="1"/>
    <col min="2" max="2" width="6.09765625" style="348" customWidth="1"/>
    <col min="3" max="3" width="46.3984375" style="349" customWidth="1"/>
    <col min="4" max="4" width="21" style="349" customWidth="1"/>
    <col min="5" max="5" width="19.8984375" style="349" customWidth="1"/>
    <col min="6" max="13" width="16.796875" style="349" customWidth="1"/>
    <col min="14" max="16384" width="9" style="349" customWidth="1"/>
  </cols>
  <sheetData>
    <row r="2" ht="11.25">
      <c r="C2" s="349" t="s">
        <v>442</v>
      </c>
    </row>
    <row r="3" ht="11.25">
      <c r="C3" s="349" t="s">
        <v>443</v>
      </c>
    </row>
    <row r="9" spans="2:34" ht="11.25">
      <c r="B9" s="348" t="s">
        <v>5</v>
      </c>
      <c r="C9" s="349" t="s">
        <v>7</v>
      </c>
      <c r="D9" s="349">
        <v>0</v>
      </c>
      <c r="E9" s="349">
        <v>0</v>
      </c>
      <c r="F9" s="349">
        <f>+E9+1</f>
        <v>1</v>
      </c>
      <c r="G9" s="349">
        <f>+F9+1</f>
        <v>2</v>
      </c>
      <c r="H9" s="349">
        <f>+G9+1</f>
        <v>3</v>
      </c>
      <c r="I9" s="349">
        <f>+H9+1</f>
        <v>4</v>
      </c>
      <c r="J9" s="349">
        <f>+I9+1</f>
        <v>5</v>
      </c>
      <c r="K9" s="349">
        <f>+J9+1</f>
        <v>6</v>
      </c>
      <c r="L9" s="349">
        <f>+K9+1</f>
        <v>7</v>
      </c>
      <c r="M9" s="349">
        <f>+L9+1</f>
        <v>8</v>
      </c>
      <c r="N9" s="349">
        <f>+M9+1</f>
        <v>9</v>
      </c>
      <c r="O9" s="349">
        <f>+N9+1</f>
        <v>10</v>
      </c>
      <c r="P9" s="349">
        <f>+O9+1</f>
        <v>11</v>
      </c>
      <c r="Q9" s="349">
        <f>+P9+1</f>
        <v>12</v>
      </c>
      <c r="R9" s="349">
        <f>+Q9+1</f>
        <v>13</v>
      </c>
      <c r="S9" s="349">
        <f>+R9+1</f>
        <v>14</v>
      </c>
      <c r="T9" s="349">
        <f>+S9+1</f>
        <v>15</v>
      </c>
      <c r="U9" s="349">
        <f>+T9+1</f>
        <v>16</v>
      </c>
      <c r="V9" s="349">
        <f>+U9+1</f>
        <v>17</v>
      </c>
      <c r="W9" s="349">
        <f>+V9+1</f>
        <v>18</v>
      </c>
      <c r="X9" s="349">
        <f>+W9+1</f>
        <v>19</v>
      </c>
      <c r="Y9" s="349">
        <f>+X9+1</f>
        <v>20</v>
      </c>
      <c r="Z9" s="349">
        <f>+Y9+1</f>
        <v>21</v>
      </c>
      <c r="AA9" s="349">
        <f>+Z9+1</f>
        <v>22</v>
      </c>
      <c r="AB9" s="349">
        <f>+AA9+1</f>
        <v>23</v>
      </c>
      <c r="AC9" s="349">
        <f>+AB9+1</f>
        <v>24</v>
      </c>
      <c r="AD9" s="349">
        <f>+AC9+1</f>
        <v>25</v>
      </c>
      <c r="AE9" s="349">
        <f>+AD9+1</f>
        <v>26</v>
      </c>
      <c r="AF9" s="349">
        <f>+AE9+1</f>
        <v>27</v>
      </c>
      <c r="AG9" s="349">
        <f>+AF9+1</f>
        <v>28</v>
      </c>
      <c r="AH9" s="349">
        <f>+AG9+1</f>
        <v>29</v>
      </c>
    </row>
    <row r="10" spans="1:34" ht="11.25">
      <c r="A10" s="348">
        <v>10</v>
      </c>
      <c r="B10" s="348">
        <v>1</v>
      </c>
      <c r="C10" s="349" t="s">
        <v>9</v>
      </c>
      <c r="D10" s="349">
        <f aca="true" t="shared" si="0" ref="D10:D114">+"rokwzgl="&amp;D$9&amp;" i lp="&amp;$A10</f>
        <v>0</v>
      </c>
      <c r="E10" s="349">
        <f aca="true" t="shared" si="1" ref="E10:E114">+"rokwzgl="&amp;E$9&amp;" i lp="&amp;$A10</f>
        <v>0</v>
      </c>
      <c r="F10" s="349">
        <f aca="true" t="shared" si="2" ref="F10:F114">+"rokwzgl="&amp;F$9&amp;" i lp="&amp;$A10</f>
        <v>0</v>
      </c>
      <c r="G10" s="349">
        <f aca="true" t="shared" si="3" ref="G10:G114">+"rokwzgl="&amp;G$9&amp;" i lp="&amp;$A10</f>
        <v>0</v>
      </c>
      <c r="H10" s="349">
        <f aca="true" t="shared" si="4" ref="H10:H114">+"rokwzgl="&amp;H$9&amp;" i lp="&amp;$A10</f>
        <v>0</v>
      </c>
      <c r="I10" s="349">
        <f aca="true" t="shared" si="5" ref="I10:I114">+"rokwzgl="&amp;I$9&amp;" i lp="&amp;$A10</f>
        <v>0</v>
      </c>
      <c r="J10" s="349">
        <f aca="true" t="shared" si="6" ref="J10:J114">+"rokwzgl="&amp;J$9&amp;" i lp="&amp;$A10</f>
        <v>0</v>
      </c>
      <c r="K10" s="349">
        <f aca="true" t="shared" si="7" ref="K10:K114">+"rokwzgl="&amp;K$9&amp;" i lp="&amp;$A10</f>
        <v>0</v>
      </c>
      <c r="L10" s="349">
        <f aca="true" t="shared" si="8" ref="L10:L114">+"rokwzgl="&amp;L$9&amp;" i lp="&amp;$A10</f>
        <v>0</v>
      </c>
      <c r="M10" s="349">
        <f aca="true" t="shared" si="9" ref="M10:M114">+"rokwzgl="&amp;M$9&amp;" i lp="&amp;$A10</f>
        <v>0</v>
      </c>
      <c r="N10" s="349">
        <f aca="true" t="shared" si="10" ref="N10:N114">+"rokwzgl="&amp;N$9&amp;" i lp="&amp;$A10</f>
        <v>0</v>
      </c>
      <c r="O10" s="349">
        <f aca="true" t="shared" si="11" ref="O10:O114">+"rokwzgl="&amp;O$9&amp;" i lp="&amp;$A10</f>
        <v>0</v>
      </c>
      <c r="P10" s="349">
        <f aca="true" t="shared" si="12" ref="P10:P114">+"rokwzgl="&amp;P$9&amp;" i lp="&amp;$A10</f>
        <v>0</v>
      </c>
      <c r="Q10" s="349">
        <f aca="true" t="shared" si="13" ref="Q10:Q114">+"rokwzgl="&amp;Q$9&amp;" i lp="&amp;$A10</f>
        <v>0</v>
      </c>
      <c r="R10" s="349">
        <f aca="true" t="shared" si="14" ref="R10:R114">+"rokwzgl="&amp;R$9&amp;" i lp="&amp;$A10</f>
        <v>0</v>
      </c>
      <c r="S10" s="349">
        <f aca="true" t="shared" si="15" ref="S10:S114">+"rokwzgl="&amp;S$9&amp;" i lp="&amp;$A10</f>
        <v>0</v>
      </c>
      <c r="T10" s="349">
        <f aca="true" t="shared" si="16" ref="T10:T114">+"rokwzgl="&amp;T$9&amp;" i lp="&amp;$A10</f>
        <v>0</v>
      </c>
      <c r="U10" s="349">
        <f aca="true" t="shared" si="17" ref="U10:U114">+"rokwzgl="&amp;U$9&amp;" i lp="&amp;$A10</f>
        <v>0</v>
      </c>
      <c r="V10" s="349">
        <f aca="true" t="shared" si="18" ref="V10:V114">+"rokwzgl="&amp;V$9&amp;" i lp="&amp;$A10</f>
        <v>0</v>
      </c>
      <c r="W10" s="349">
        <f aca="true" t="shared" si="19" ref="W10:W114">+"rokwzgl="&amp;W$9&amp;" i lp="&amp;$A10</f>
        <v>0</v>
      </c>
      <c r="X10" s="349">
        <f aca="true" t="shared" si="20" ref="X10:X114">+"rokwzgl="&amp;X$9&amp;" i lp="&amp;$A10</f>
        <v>0</v>
      </c>
      <c r="Y10" s="349">
        <f aca="true" t="shared" si="21" ref="Y10:Y114">+"rokwzgl="&amp;Y$9&amp;" i lp="&amp;$A10</f>
        <v>0</v>
      </c>
      <c r="Z10" s="349">
        <f aca="true" t="shared" si="22" ref="Z10:Z114">+"rokwzgl="&amp;Z$9&amp;" i lp="&amp;$A10</f>
        <v>0</v>
      </c>
      <c r="AA10" s="349">
        <f aca="true" t="shared" si="23" ref="AA10:AA114">+"rokwzgl="&amp;AA$9&amp;" i lp="&amp;$A10</f>
        <v>0</v>
      </c>
      <c r="AB10" s="349">
        <f aca="true" t="shared" si="24" ref="AB10:AB114">+"rokwzgl="&amp;AB$9&amp;" i lp="&amp;$A10</f>
        <v>0</v>
      </c>
      <c r="AC10" s="349">
        <f aca="true" t="shared" si="25" ref="AC10:AC114">+"rokwzgl="&amp;AC$9&amp;" i lp="&amp;$A10</f>
        <v>0</v>
      </c>
      <c r="AD10" s="349">
        <f aca="true" t="shared" si="26" ref="AD10:AD114">+"rokwzgl="&amp;AD$9&amp;" i lp="&amp;$A10</f>
        <v>0</v>
      </c>
      <c r="AE10" s="349">
        <f aca="true" t="shared" si="27" ref="AE10:AE114">+"rokwzgl="&amp;AE$9&amp;" i lp="&amp;$A10</f>
        <v>0</v>
      </c>
      <c r="AF10" s="349">
        <f aca="true" t="shared" si="28" ref="AF10:AF114">+"rokwzgl="&amp;AF$9&amp;" i lp="&amp;$A10</f>
        <v>0</v>
      </c>
      <c r="AG10" s="349">
        <f aca="true" t="shared" si="29" ref="AG10:AG114">+"rokwzgl="&amp;AG$9&amp;" i lp="&amp;$A10</f>
        <v>0</v>
      </c>
      <c r="AH10" s="349">
        <f aca="true" t="shared" si="30" ref="AH10:AH114">+"rokwzgl="&amp;AH$9&amp;" i lp="&amp;$A10</f>
        <v>0</v>
      </c>
    </row>
    <row r="11" spans="1:34" ht="11.25">
      <c r="A11" s="348">
        <v>20</v>
      </c>
      <c r="B11" s="348" t="s">
        <v>10</v>
      </c>
      <c r="C11" s="349" t="s">
        <v>11</v>
      </c>
      <c r="D11" s="349">
        <f t="shared" si="0"/>
        <v>0</v>
      </c>
      <c r="E11" s="349">
        <f t="shared" si="1"/>
        <v>0</v>
      </c>
      <c r="F11" s="349">
        <f t="shared" si="2"/>
        <v>0</v>
      </c>
      <c r="G11" s="349">
        <f t="shared" si="3"/>
        <v>0</v>
      </c>
      <c r="H11" s="349">
        <f t="shared" si="4"/>
        <v>0</v>
      </c>
      <c r="I11" s="349">
        <f t="shared" si="5"/>
        <v>0</v>
      </c>
      <c r="J11" s="349">
        <f t="shared" si="6"/>
        <v>0</v>
      </c>
      <c r="K11" s="349">
        <f t="shared" si="7"/>
        <v>0</v>
      </c>
      <c r="L11" s="349">
        <f t="shared" si="8"/>
        <v>0</v>
      </c>
      <c r="M11" s="349">
        <f t="shared" si="9"/>
        <v>0</v>
      </c>
      <c r="N11" s="349">
        <f t="shared" si="10"/>
        <v>0</v>
      </c>
      <c r="O11" s="349">
        <f t="shared" si="11"/>
        <v>0</v>
      </c>
      <c r="P11" s="349">
        <f t="shared" si="12"/>
        <v>0</v>
      </c>
      <c r="Q11" s="349">
        <f t="shared" si="13"/>
        <v>0</v>
      </c>
      <c r="R11" s="349">
        <f t="shared" si="14"/>
        <v>0</v>
      </c>
      <c r="S11" s="349">
        <f t="shared" si="15"/>
        <v>0</v>
      </c>
      <c r="T11" s="349">
        <f t="shared" si="16"/>
        <v>0</v>
      </c>
      <c r="U11" s="349">
        <f t="shared" si="17"/>
        <v>0</v>
      </c>
      <c r="V11" s="349">
        <f t="shared" si="18"/>
        <v>0</v>
      </c>
      <c r="W11" s="349">
        <f t="shared" si="19"/>
        <v>0</v>
      </c>
      <c r="X11" s="349">
        <f t="shared" si="20"/>
        <v>0</v>
      </c>
      <c r="Y11" s="349">
        <f t="shared" si="21"/>
        <v>0</v>
      </c>
      <c r="Z11" s="349">
        <f t="shared" si="22"/>
        <v>0</v>
      </c>
      <c r="AA11" s="349">
        <f t="shared" si="23"/>
        <v>0</v>
      </c>
      <c r="AB11" s="349">
        <f t="shared" si="24"/>
        <v>0</v>
      </c>
      <c r="AC11" s="349">
        <f t="shared" si="25"/>
        <v>0</v>
      </c>
      <c r="AD11" s="349">
        <f t="shared" si="26"/>
        <v>0</v>
      </c>
      <c r="AE11" s="349">
        <f t="shared" si="27"/>
        <v>0</v>
      </c>
      <c r="AF11" s="349">
        <f t="shared" si="28"/>
        <v>0</v>
      </c>
      <c r="AG11" s="349">
        <f t="shared" si="29"/>
        <v>0</v>
      </c>
      <c r="AH11" s="349">
        <f t="shared" si="30"/>
        <v>0</v>
      </c>
    </row>
    <row r="12" spans="1:34" ht="11.25">
      <c r="A12" s="348">
        <v>30</v>
      </c>
      <c r="B12" s="348" t="s">
        <v>13</v>
      </c>
      <c r="C12" s="349" t="s">
        <v>14</v>
      </c>
      <c r="D12" s="349">
        <f t="shared" si="0"/>
        <v>0</v>
      </c>
      <c r="E12" s="349">
        <f t="shared" si="1"/>
        <v>0</v>
      </c>
      <c r="F12" s="349">
        <f t="shared" si="2"/>
        <v>0</v>
      </c>
      <c r="G12" s="349">
        <f t="shared" si="3"/>
        <v>0</v>
      </c>
      <c r="H12" s="349">
        <f t="shared" si="4"/>
        <v>0</v>
      </c>
      <c r="I12" s="349">
        <f t="shared" si="5"/>
        <v>0</v>
      </c>
      <c r="J12" s="349">
        <f t="shared" si="6"/>
        <v>0</v>
      </c>
      <c r="K12" s="349">
        <f t="shared" si="7"/>
        <v>0</v>
      </c>
      <c r="L12" s="349">
        <f t="shared" si="8"/>
        <v>0</v>
      </c>
      <c r="M12" s="349">
        <f t="shared" si="9"/>
        <v>0</v>
      </c>
      <c r="N12" s="349">
        <f t="shared" si="10"/>
        <v>0</v>
      </c>
      <c r="O12" s="349">
        <f t="shared" si="11"/>
        <v>0</v>
      </c>
      <c r="P12" s="349">
        <f t="shared" si="12"/>
        <v>0</v>
      </c>
      <c r="Q12" s="349">
        <f t="shared" si="13"/>
        <v>0</v>
      </c>
      <c r="R12" s="349">
        <f t="shared" si="14"/>
        <v>0</v>
      </c>
      <c r="S12" s="349">
        <f t="shared" si="15"/>
        <v>0</v>
      </c>
      <c r="T12" s="349">
        <f t="shared" si="16"/>
        <v>0</v>
      </c>
      <c r="U12" s="349">
        <f t="shared" si="17"/>
        <v>0</v>
      </c>
      <c r="V12" s="349">
        <f t="shared" si="18"/>
        <v>0</v>
      </c>
      <c r="W12" s="349">
        <f t="shared" si="19"/>
        <v>0</v>
      </c>
      <c r="X12" s="349">
        <f t="shared" si="20"/>
        <v>0</v>
      </c>
      <c r="Y12" s="349">
        <f t="shared" si="21"/>
        <v>0</v>
      </c>
      <c r="Z12" s="349">
        <f t="shared" si="22"/>
        <v>0</v>
      </c>
      <c r="AA12" s="349">
        <f t="shared" si="23"/>
        <v>0</v>
      </c>
      <c r="AB12" s="349">
        <f t="shared" si="24"/>
        <v>0</v>
      </c>
      <c r="AC12" s="349">
        <f t="shared" si="25"/>
        <v>0</v>
      </c>
      <c r="AD12" s="349">
        <f t="shared" si="26"/>
        <v>0</v>
      </c>
      <c r="AE12" s="349">
        <f t="shared" si="27"/>
        <v>0</v>
      </c>
      <c r="AF12" s="349">
        <f t="shared" si="28"/>
        <v>0</v>
      </c>
      <c r="AG12" s="349">
        <f t="shared" si="29"/>
        <v>0</v>
      </c>
      <c r="AH12" s="349">
        <f t="shared" si="30"/>
        <v>0</v>
      </c>
    </row>
    <row r="13" spans="1:34" ht="11.25">
      <c r="A13" s="348">
        <v>40</v>
      </c>
      <c r="B13" s="348" t="s">
        <v>16</v>
      </c>
      <c r="C13" s="349" t="s">
        <v>17</v>
      </c>
      <c r="D13" s="349">
        <f t="shared" si="0"/>
        <v>0</v>
      </c>
      <c r="E13" s="349">
        <f t="shared" si="1"/>
        <v>0</v>
      </c>
      <c r="F13" s="349">
        <f t="shared" si="2"/>
        <v>0</v>
      </c>
      <c r="G13" s="349">
        <f t="shared" si="3"/>
        <v>0</v>
      </c>
      <c r="H13" s="349">
        <f t="shared" si="4"/>
        <v>0</v>
      </c>
      <c r="I13" s="349">
        <f t="shared" si="5"/>
        <v>0</v>
      </c>
      <c r="J13" s="349">
        <f t="shared" si="6"/>
        <v>0</v>
      </c>
      <c r="K13" s="349">
        <f t="shared" si="7"/>
        <v>0</v>
      </c>
      <c r="L13" s="349">
        <f t="shared" si="8"/>
        <v>0</v>
      </c>
      <c r="M13" s="349">
        <f t="shared" si="9"/>
        <v>0</v>
      </c>
      <c r="N13" s="349">
        <f t="shared" si="10"/>
        <v>0</v>
      </c>
      <c r="O13" s="349">
        <f t="shared" si="11"/>
        <v>0</v>
      </c>
      <c r="P13" s="349">
        <f t="shared" si="12"/>
        <v>0</v>
      </c>
      <c r="Q13" s="349">
        <f t="shared" si="13"/>
        <v>0</v>
      </c>
      <c r="R13" s="349">
        <f t="shared" si="14"/>
        <v>0</v>
      </c>
      <c r="S13" s="349">
        <f t="shared" si="15"/>
        <v>0</v>
      </c>
      <c r="T13" s="349">
        <f t="shared" si="16"/>
        <v>0</v>
      </c>
      <c r="U13" s="349">
        <f t="shared" si="17"/>
        <v>0</v>
      </c>
      <c r="V13" s="349">
        <f t="shared" si="18"/>
        <v>0</v>
      </c>
      <c r="W13" s="349">
        <f t="shared" si="19"/>
        <v>0</v>
      </c>
      <c r="X13" s="349">
        <f t="shared" si="20"/>
        <v>0</v>
      </c>
      <c r="Y13" s="349">
        <f t="shared" si="21"/>
        <v>0</v>
      </c>
      <c r="Z13" s="349">
        <f t="shared" si="22"/>
        <v>0</v>
      </c>
      <c r="AA13" s="349">
        <f t="shared" si="23"/>
        <v>0</v>
      </c>
      <c r="AB13" s="349">
        <f t="shared" si="24"/>
        <v>0</v>
      </c>
      <c r="AC13" s="349">
        <f t="shared" si="25"/>
        <v>0</v>
      </c>
      <c r="AD13" s="349">
        <f t="shared" si="26"/>
        <v>0</v>
      </c>
      <c r="AE13" s="349">
        <f t="shared" si="27"/>
        <v>0</v>
      </c>
      <c r="AF13" s="349">
        <f t="shared" si="28"/>
        <v>0</v>
      </c>
      <c r="AG13" s="349">
        <f t="shared" si="29"/>
        <v>0</v>
      </c>
      <c r="AH13" s="349">
        <f t="shared" si="30"/>
        <v>0</v>
      </c>
    </row>
    <row r="14" spans="1:34" ht="11.25">
      <c r="A14" s="348">
        <v>50</v>
      </c>
      <c r="B14" s="348" t="s">
        <v>19</v>
      </c>
      <c r="C14" s="349" t="s">
        <v>20</v>
      </c>
      <c r="D14" s="349">
        <f t="shared" si="0"/>
        <v>0</v>
      </c>
      <c r="E14" s="349">
        <f t="shared" si="1"/>
        <v>0</v>
      </c>
      <c r="F14" s="349">
        <f t="shared" si="2"/>
        <v>0</v>
      </c>
      <c r="G14" s="349">
        <f t="shared" si="3"/>
        <v>0</v>
      </c>
      <c r="H14" s="349">
        <f t="shared" si="4"/>
        <v>0</v>
      </c>
      <c r="I14" s="349">
        <f t="shared" si="5"/>
        <v>0</v>
      </c>
      <c r="J14" s="349">
        <f t="shared" si="6"/>
        <v>0</v>
      </c>
      <c r="K14" s="349">
        <f t="shared" si="7"/>
        <v>0</v>
      </c>
      <c r="L14" s="349">
        <f t="shared" si="8"/>
        <v>0</v>
      </c>
      <c r="M14" s="349">
        <f t="shared" si="9"/>
        <v>0</v>
      </c>
      <c r="N14" s="349">
        <f t="shared" si="10"/>
        <v>0</v>
      </c>
      <c r="O14" s="349">
        <f t="shared" si="11"/>
        <v>0</v>
      </c>
      <c r="P14" s="349">
        <f t="shared" si="12"/>
        <v>0</v>
      </c>
      <c r="Q14" s="349">
        <f t="shared" si="13"/>
        <v>0</v>
      </c>
      <c r="R14" s="349">
        <f t="shared" si="14"/>
        <v>0</v>
      </c>
      <c r="S14" s="349">
        <f t="shared" si="15"/>
        <v>0</v>
      </c>
      <c r="T14" s="349">
        <f t="shared" si="16"/>
        <v>0</v>
      </c>
      <c r="U14" s="349">
        <f t="shared" si="17"/>
        <v>0</v>
      </c>
      <c r="V14" s="349">
        <f t="shared" si="18"/>
        <v>0</v>
      </c>
      <c r="W14" s="349">
        <f t="shared" si="19"/>
        <v>0</v>
      </c>
      <c r="X14" s="349">
        <f t="shared" si="20"/>
        <v>0</v>
      </c>
      <c r="Y14" s="349">
        <f t="shared" si="21"/>
        <v>0</v>
      </c>
      <c r="Z14" s="349">
        <f t="shared" si="22"/>
        <v>0</v>
      </c>
      <c r="AA14" s="349">
        <f t="shared" si="23"/>
        <v>0</v>
      </c>
      <c r="AB14" s="349">
        <f t="shared" si="24"/>
        <v>0</v>
      </c>
      <c r="AC14" s="349">
        <f t="shared" si="25"/>
        <v>0</v>
      </c>
      <c r="AD14" s="349">
        <f t="shared" si="26"/>
        <v>0</v>
      </c>
      <c r="AE14" s="349">
        <f t="shared" si="27"/>
        <v>0</v>
      </c>
      <c r="AF14" s="349">
        <f t="shared" si="28"/>
        <v>0</v>
      </c>
      <c r="AG14" s="349">
        <f t="shared" si="29"/>
        <v>0</v>
      </c>
      <c r="AH14" s="349">
        <f t="shared" si="30"/>
        <v>0</v>
      </c>
    </row>
    <row r="15" spans="1:34" ht="11.25">
      <c r="A15" s="348">
        <v>60</v>
      </c>
      <c r="B15" s="348" t="s">
        <v>22</v>
      </c>
      <c r="C15" s="349" t="s">
        <v>23</v>
      </c>
      <c r="D15" s="349">
        <f t="shared" si="0"/>
        <v>0</v>
      </c>
      <c r="E15" s="349">
        <f t="shared" si="1"/>
        <v>0</v>
      </c>
      <c r="F15" s="349">
        <f t="shared" si="2"/>
        <v>0</v>
      </c>
      <c r="G15" s="349">
        <f t="shared" si="3"/>
        <v>0</v>
      </c>
      <c r="H15" s="349">
        <f t="shared" si="4"/>
        <v>0</v>
      </c>
      <c r="I15" s="349">
        <f t="shared" si="5"/>
        <v>0</v>
      </c>
      <c r="J15" s="349">
        <f t="shared" si="6"/>
        <v>0</v>
      </c>
      <c r="K15" s="349">
        <f t="shared" si="7"/>
        <v>0</v>
      </c>
      <c r="L15" s="349">
        <f t="shared" si="8"/>
        <v>0</v>
      </c>
      <c r="M15" s="349">
        <f t="shared" si="9"/>
        <v>0</v>
      </c>
      <c r="N15" s="349">
        <f t="shared" si="10"/>
        <v>0</v>
      </c>
      <c r="O15" s="349">
        <f t="shared" si="11"/>
        <v>0</v>
      </c>
      <c r="P15" s="349">
        <f t="shared" si="12"/>
        <v>0</v>
      </c>
      <c r="Q15" s="349">
        <f t="shared" si="13"/>
        <v>0</v>
      </c>
      <c r="R15" s="349">
        <f t="shared" si="14"/>
        <v>0</v>
      </c>
      <c r="S15" s="349">
        <f t="shared" si="15"/>
        <v>0</v>
      </c>
      <c r="T15" s="349">
        <f t="shared" si="16"/>
        <v>0</v>
      </c>
      <c r="U15" s="349">
        <f t="shared" si="17"/>
        <v>0</v>
      </c>
      <c r="V15" s="349">
        <f t="shared" si="18"/>
        <v>0</v>
      </c>
      <c r="W15" s="349">
        <f t="shared" si="19"/>
        <v>0</v>
      </c>
      <c r="X15" s="349">
        <f t="shared" si="20"/>
        <v>0</v>
      </c>
      <c r="Y15" s="349">
        <f t="shared" si="21"/>
        <v>0</v>
      </c>
      <c r="Z15" s="349">
        <f t="shared" si="22"/>
        <v>0</v>
      </c>
      <c r="AA15" s="349">
        <f t="shared" si="23"/>
        <v>0</v>
      </c>
      <c r="AB15" s="349">
        <f t="shared" si="24"/>
        <v>0</v>
      </c>
      <c r="AC15" s="349">
        <f t="shared" si="25"/>
        <v>0</v>
      </c>
      <c r="AD15" s="349">
        <f t="shared" si="26"/>
        <v>0</v>
      </c>
      <c r="AE15" s="349">
        <f t="shared" si="27"/>
        <v>0</v>
      </c>
      <c r="AF15" s="349">
        <f t="shared" si="28"/>
        <v>0</v>
      </c>
      <c r="AG15" s="349">
        <f t="shared" si="29"/>
        <v>0</v>
      </c>
      <c r="AH15" s="349">
        <f t="shared" si="30"/>
        <v>0</v>
      </c>
    </row>
    <row r="16" spans="1:34" ht="11.25">
      <c r="A16" s="348">
        <v>70</v>
      </c>
      <c r="B16" s="348" t="s">
        <v>25</v>
      </c>
      <c r="C16" s="349" t="s">
        <v>26</v>
      </c>
      <c r="D16" s="349">
        <f t="shared" si="0"/>
        <v>0</v>
      </c>
      <c r="E16" s="349">
        <f t="shared" si="1"/>
        <v>0</v>
      </c>
      <c r="F16" s="349">
        <f t="shared" si="2"/>
        <v>0</v>
      </c>
      <c r="G16" s="349">
        <f t="shared" si="3"/>
        <v>0</v>
      </c>
      <c r="H16" s="349">
        <f t="shared" si="4"/>
        <v>0</v>
      </c>
      <c r="I16" s="349">
        <f t="shared" si="5"/>
        <v>0</v>
      </c>
      <c r="J16" s="349">
        <f t="shared" si="6"/>
        <v>0</v>
      </c>
      <c r="K16" s="349">
        <f t="shared" si="7"/>
        <v>0</v>
      </c>
      <c r="L16" s="349">
        <f t="shared" si="8"/>
        <v>0</v>
      </c>
      <c r="M16" s="349">
        <f t="shared" si="9"/>
        <v>0</v>
      </c>
      <c r="N16" s="349">
        <f t="shared" si="10"/>
        <v>0</v>
      </c>
      <c r="O16" s="349">
        <f t="shared" si="11"/>
        <v>0</v>
      </c>
      <c r="P16" s="349">
        <f t="shared" si="12"/>
        <v>0</v>
      </c>
      <c r="Q16" s="349">
        <f t="shared" si="13"/>
        <v>0</v>
      </c>
      <c r="R16" s="349">
        <f t="shared" si="14"/>
        <v>0</v>
      </c>
      <c r="S16" s="349">
        <f t="shared" si="15"/>
        <v>0</v>
      </c>
      <c r="T16" s="349">
        <f t="shared" si="16"/>
        <v>0</v>
      </c>
      <c r="U16" s="349">
        <f t="shared" si="17"/>
        <v>0</v>
      </c>
      <c r="V16" s="349">
        <f t="shared" si="18"/>
        <v>0</v>
      </c>
      <c r="W16" s="349">
        <f t="shared" si="19"/>
        <v>0</v>
      </c>
      <c r="X16" s="349">
        <f t="shared" si="20"/>
        <v>0</v>
      </c>
      <c r="Y16" s="349">
        <f t="shared" si="21"/>
        <v>0</v>
      </c>
      <c r="Z16" s="349">
        <f t="shared" si="22"/>
        <v>0</v>
      </c>
      <c r="AA16" s="349">
        <f t="shared" si="23"/>
        <v>0</v>
      </c>
      <c r="AB16" s="349">
        <f t="shared" si="24"/>
        <v>0</v>
      </c>
      <c r="AC16" s="349">
        <f t="shared" si="25"/>
        <v>0</v>
      </c>
      <c r="AD16" s="349">
        <f t="shared" si="26"/>
        <v>0</v>
      </c>
      <c r="AE16" s="349">
        <f t="shared" si="27"/>
        <v>0</v>
      </c>
      <c r="AF16" s="349">
        <f t="shared" si="28"/>
        <v>0</v>
      </c>
      <c r="AG16" s="349">
        <f t="shared" si="29"/>
        <v>0</v>
      </c>
      <c r="AH16" s="349">
        <f t="shared" si="30"/>
        <v>0</v>
      </c>
    </row>
    <row r="17" spans="1:34" ht="11.25">
      <c r="A17" s="348">
        <v>80</v>
      </c>
      <c r="B17" s="348" t="s">
        <v>28</v>
      </c>
      <c r="C17" s="349" t="s">
        <v>29</v>
      </c>
      <c r="D17" s="349">
        <f t="shared" si="0"/>
        <v>0</v>
      </c>
      <c r="E17" s="349">
        <f t="shared" si="1"/>
        <v>0</v>
      </c>
      <c r="F17" s="349">
        <f t="shared" si="2"/>
        <v>0</v>
      </c>
      <c r="G17" s="349">
        <f t="shared" si="3"/>
        <v>0</v>
      </c>
      <c r="H17" s="349">
        <f t="shared" si="4"/>
        <v>0</v>
      </c>
      <c r="I17" s="349">
        <f t="shared" si="5"/>
        <v>0</v>
      </c>
      <c r="J17" s="349">
        <f t="shared" si="6"/>
        <v>0</v>
      </c>
      <c r="K17" s="349">
        <f t="shared" si="7"/>
        <v>0</v>
      </c>
      <c r="L17" s="349">
        <f t="shared" si="8"/>
        <v>0</v>
      </c>
      <c r="M17" s="349">
        <f t="shared" si="9"/>
        <v>0</v>
      </c>
      <c r="N17" s="349">
        <f t="shared" si="10"/>
        <v>0</v>
      </c>
      <c r="O17" s="349">
        <f t="shared" si="11"/>
        <v>0</v>
      </c>
      <c r="P17" s="349">
        <f t="shared" si="12"/>
        <v>0</v>
      </c>
      <c r="Q17" s="349">
        <f t="shared" si="13"/>
        <v>0</v>
      </c>
      <c r="R17" s="349">
        <f t="shared" si="14"/>
        <v>0</v>
      </c>
      <c r="S17" s="349">
        <f t="shared" si="15"/>
        <v>0</v>
      </c>
      <c r="T17" s="349">
        <f t="shared" si="16"/>
        <v>0</v>
      </c>
      <c r="U17" s="349">
        <f t="shared" si="17"/>
        <v>0</v>
      </c>
      <c r="V17" s="349">
        <f t="shared" si="18"/>
        <v>0</v>
      </c>
      <c r="W17" s="349">
        <f t="shared" si="19"/>
        <v>0</v>
      </c>
      <c r="X17" s="349">
        <f t="shared" si="20"/>
        <v>0</v>
      </c>
      <c r="Y17" s="349">
        <f t="shared" si="21"/>
        <v>0</v>
      </c>
      <c r="Z17" s="349">
        <f t="shared" si="22"/>
        <v>0</v>
      </c>
      <c r="AA17" s="349">
        <f t="shared" si="23"/>
        <v>0</v>
      </c>
      <c r="AB17" s="349">
        <f t="shared" si="24"/>
        <v>0</v>
      </c>
      <c r="AC17" s="349">
        <f t="shared" si="25"/>
        <v>0</v>
      </c>
      <c r="AD17" s="349">
        <f t="shared" si="26"/>
        <v>0</v>
      </c>
      <c r="AE17" s="349">
        <f t="shared" si="27"/>
        <v>0</v>
      </c>
      <c r="AF17" s="349">
        <f t="shared" si="28"/>
        <v>0</v>
      </c>
      <c r="AG17" s="349">
        <f t="shared" si="29"/>
        <v>0</v>
      </c>
      <c r="AH17" s="349">
        <f t="shared" si="30"/>
        <v>0</v>
      </c>
    </row>
    <row r="18" spans="1:34" ht="11.25">
      <c r="A18" s="348">
        <v>90</v>
      </c>
      <c r="B18" s="348" t="s">
        <v>31</v>
      </c>
      <c r="C18" s="349" t="s">
        <v>444</v>
      </c>
      <c r="D18" s="349">
        <f t="shared" si="0"/>
        <v>0</v>
      </c>
      <c r="E18" s="349">
        <f t="shared" si="1"/>
        <v>0</v>
      </c>
      <c r="F18" s="349">
        <f t="shared" si="2"/>
        <v>0</v>
      </c>
      <c r="G18" s="349">
        <f t="shared" si="3"/>
        <v>0</v>
      </c>
      <c r="H18" s="349">
        <f t="shared" si="4"/>
        <v>0</v>
      </c>
      <c r="I18" s="349">
        <f t="shared" si="5"/>
        <v>0</v>
      </c>
      <c r="J18" s="349">
        <f t="shared" si="6"/>
        <v>0</v>
      </c>
      <c r="K18" s="349">
        <f t="shared" si="7"/>
        <v>0</v>
      </c>
      <c r="L18" s="349">
        <f t="shared" si="8"/>
        <v>0</v>
      </c>
      <c r="M18" s="349">
        <f t="shared" si="9"/>
        <v>0</v>
      </c>
      <c r="N18" s="349">
        <f t="shared" si="10"/>
        <v>0</v>
      </c>
      <c r="O18" s="349">
        <f t="shared" si="11"/>
        <v>0</v>
      </c>
      <c r="P18" s="349">
        <f t="shared" si="12"/>
        <v>0</v>
      </c>
      <c r="Q18" s="349">
        <f t="shared" si="13"/>
        <v>0</v>
      </c>
      <c r="R18" s="349">
        <f t="shared" si="14"/>
        <v>0</v>
      </c>
      <c r="S18" s="349">
        <f t="shared" si="15"/>
        <v>0</v>
      </c>
      <c r="T18" s="349">
        <f t="shared" si="16"/>
        <v>0</v>
      </c>
      <c r="U18" s="349">
        <f t="shared" si="17"/>
        <v>0</v>
      </c>
      <c r="V18" s="349">
        <f t="shared" si="18"/>
        <v>0</v>
      </c>
      <c r="W18" s="349">
        <f t="shared" si="19"/>
        <v>0</v>
      </c>
      <c r="X18" s="349">
        <f t="shared" si="20"/>
        <v>0</v>
      </c>
      <c r="Y18" s="349">
        <f t="shared" si="21"/>
        <v>0</v>
      </c>
      <c r="Z18" s="349">
        <f t="shared" si="22"/>
        <v>0</v>
      </c>
      <c r="AA18" s="349">
        <f t="shared" si="23"/>
        <v>0</v>
      </c>
      <c r="AB18" s="349">
        <f t="shared" si="24"/>
        <v>0</v>
      </c>
      <c r="AC18" s="349">
        <f t="shared" si="25"/>
        <v>0</v>
      </c>
      <c r="AD18" s="349">
        <f t="shared" si="26"/>
        <v>0</v>
      </c>
      <c r="AE18" s="349">
        <f t="shared" si="27"/>
        <v>0</v>
      </c>
      <c r="AF18" s="349">
        <f t="shared" si="28"/>
        <v>0</v>
      </c>
      <c r="AG18" s="349">
        <f t="shared" si="29"/>
        <v>0</v>
      </c>
      <c r="AH18" s="349">
        <f t="shared" si="30"/>
        <v>0</v>
      </c>
    </row>
    <row r="19" spans="1:34" ht="11.25">
      <c r="A19" s="348">
        <v>100</v>
      </c>
      <c r="B19" s="348" t="s">
        <v>34</v>
      </c>
      <c r="C19" s="349" t="s">
        <v>35</v>
      </c>
      <c r="D19" s="349">
        <f t="shared" si="0"/>
        <v>0</v>
      </c>
      <c r="E19" s="349">
        <f t="shared" si="1"/>
        <v>0</v>
      </c>
      <c r="F19" s="349">
        <f t="shared" si="2"/>
        <v>0</v>
      </c>
      <c r="G19" s="349">
        <f t="shared" si="3"/>
        <v>0</v>
      </c>
      <c r="H19" s="349">
        <f t="shared" si="4"/>
        <v>0</v>
      </c>
      <c r="I19" s="349">
        <f t="shared" si="5"/>
        <v>0</v>
      </c>
      <c r="J19" s="349">
        <f t="shared" si="6"/>
        <v>0</v>
      </c>
      <c r="K19" s="349">
        <f t="shared" si="7"/>
        <v>0</v>
      </c>
      <c r="L19" s="349">
        <f t="shared" si="8"/>
        <v>0</v>
      </c>
      <c r="M19" s="349">
        <f t="shared" si="9"/>
        <v>0</v>
      </c>
      <c r="N19" s="349">
        <f t="shared" si="10"/>
        <v>0</v>
      </c>
      <c r="O19" s="349">
        <f t="shared" si="11"/>
        <v>0</v>
      </c>
      <c r="P19" s="349">
        <f t="shared" si="12"/>
        <v>0</v>
      </c>
      <c r="Q19" s="349">
        <f t="shared" si="13"/>
        <v>0</v>
      </c>
      <c r="R19" s="349">
        <f t="shared" si="14"/>
        <v>0</v>
      </c>
      <c r="S19" s="349">
        <f t="shared" si="15"/>
        <v>0</v>
      </c>
      <c r="T19" s="349">
        <f t="shared" si="16"/>
        <v>0</v>
      </c>
      <c r="U19" s="349">
        <f t="shared" si="17"/>
        <v>0</v>
      </c>
      <c r="V19" s="349">
        <f t="shared" si="18"/>
        <v>0</v>
      </c>
      <c r="W19" s="349">
        <f t="shared" si="19"/>
        <v>0</v>
      </c>
      <c r="X19" s="349">
        <f t="shared" si="20"/>
        <v>0</v>
      </c>
      <c r="Y19" s="349">
        <f t="shared" si="21"/>
        <v>0</v>
      </c>
      <c r="Z19" s="349">
        <f t="shared" si="22"/>
        <v>0</v>
      </c>
      <c r="AA19" s="349">
        <f t="shared" si="23"/>
        <v>0</v>
      </c>
      <c r="AB19" s="349">
        <f t="shared" si="24"/>
        <v>0</v>
      </c>
      <c r="AC19" s="349">
        <f t="shared" si="25"/>
        <v>0</v>
      </c>
      <c r="AD19" s="349">
        <f t="shared" si="26"/>
        <v>0</v>
      </c>
      <c r="AE19" s="349">
        <f t="shared" si="27"/>
        <v>0</v>
      </c>
      <c r="AF19" s="349">
        <f t="shared" si="28"/>
        <v>0</v>
      </c>
      <c r="AG19" s="349">
        <f t="shared" si="29"/>
        <v>0</v>
      </c>
      <c r="AH19" s="349">
        <f t="shared" si="30"/>
        <v>0</v>
      </c>
    </row>
    <row r="20" spans="1:34" ht="11.25">
      <c r="A20" s="348">
        <v>110</v>
      </c>
      <c r="B20" s="348" t="s">
        <v>37</v>
      </c>
      <c r="C20" s="349" t="s">
        <v>38</v>
      </c>
      <c r="D20" s="349">
        <f t="shared" si="0"/>
        <v>0</v>
      </c>
      <c r="E20" s="349">
        <f t="shared" si="1"/>
        <v>0</v>
      </c>
      <c r="F20" s="349">
        <f t="shared" si="2"/>
        <v>0</v>
      </c>
      <c r="G20" s="349">
        <f t="shared" si="3"/>
        <v>0</v>
      </c>
      <c r="H20" s="349">
        <f t="shared" si="4"/>
        <v>0</v>
      </c>
      <c r="I20" s="349">
        <f t="shared" si="5"/>
        <v>0</v>
      </c>
      <c r="J20" s="349">
        <f t="shared" si="6"/>
        <v>0</v>
      </c>
      <c r="K20" s="349">
        <f t="shared" si="7"/>
        <v>0</v>
      </c>
      <c r="L20" s="349">
        <f t="shared" si="8"/>
        <v>0</v>
      </c>
      <c r="M20" s="349">
        <f t="shared" si="9"/>
        <v>0</v>
      </c>
      <c r="N20" s="349">
        <f t="shared" si="10"/>
        <v>0</v>
      </c>
      <c r="O20" s="349">
        <f t="shared" si="11"/>
        <v>0</v>
      </c>
      <c r="P20" s="349">
        <f t="shared" si="12"/>
        <v>0</v>
      </c>
      <c r="Q20" s="349">
        <f t="shared" si="13"/>
        <v>0</v>
      </c>
      <c r="R20" s="349">
        <f t="shared" si="14"/>
        <v>0</v>
      </c>
      <c r="S20" s="349">
        <f t="shared" si="15"/>
        <v>0</v>
      </c>
      <c r="T20" s="349">
        <f t="shared" si="16"/>
        <v>0</v>
      </c>
      <c r="U20" s="349">
        <f t="shared" si="17"/>
        <v>0</v>
      </c>
      <c r="V20" s="349">
        <f t="shared" si="18"/>
        <v>0</v>
      </c>
      <c r="W20" s="349">
        <f t="shared" si="19"/>
        <v>0</v>
      </c>
      <c r="X20" s="349">
        <f t="shared" si="20"/>
        <v>0</v>
      </c>
      <c r="Y20" s="349">
        <f t="shared" si="21"/>
        <v>0</v>
      </c>
      <c r="Z20" s="349">
        <f t="shared" si="22"/>
        <v>0</v>
      </c>
      <c r="AA20" s="349">
        <f t="shared" si="23"/>
        <v>0</v>
      </c>
      <c r="AB20" s="349">
        <f t="shared" si="24"/>
        <v>0</v>
      </c>
      <c r="AC20" s="349">
        <f t="shared" si="25"/>
        <v>0</v>
      </c>
      <c r="AD20" s="349">
        <f t="shared" si="26"/>
        <v>0</v>
      </c>
      <c r="AE20" s="349">
        <f t="shared" si="27"/>
        <v>0</v>
      </c>
      <c r="AF20" s="349">
        <f t="shared" si="28"/>
        <v>0</v>
      </c>
      <c r="AG20" s="349">
        <f t="shared" si="29"/>
        <v>0</v>
      </c>
      <c r="AH20" s="349">
        <f t="shared" si="30"/>
        <v>0</v>
      </c>
    </row>
    <row r="21" spans="1:34" ht="11.25">
      <c r="A21" s="348">
        <v>120</v>
      </c>
      <c r="B21" s="348">
        <v>2</v>
      </c>
      <c r="C21" s="349" t="s">
        <v>40</v>
      </c>
      <c r="D21" s="349">
        <f t="shared" si="0"/>
        <v>0</v>
      </c>
      <c r="E21" s="349">
        <f t="shared" si="1"/>
        <v>0</v>
      </c>
      <c r="F21" s="349">
        <f t="shared" si="2"/>
        <v>0</v>
      </c>
      <c r="G21" s="349">
        <f t="shared" si="3"/>
        <v>0</v>
      </c>
      <c r="H21" s="349">
        <f t="shared" si="4"/>
        <v>0</v>
      </c>
      <c r="I21" s="349">
        <f t="shared" si="5"/>
        <v>0</v>
      </c>
      <c r="J21" s="349">
        <f t="shared" si="6"/>
        <v>0</v>
      </c>
      <c r="K21" s="349">
        <f t="shared" si="7"/>
        <v>0</v>
      </c>
      <c r="L21" s="349">
        <f t="shared" si="8"/>
        <v>0</v>
      </c>
      <c r="M21" s="349">
        <f t="shared" si="9"/>
        <v>0</v>
      </c>
      <c r="N21" s="349">
        <f t="shared" si="10"/>
        <v>0</v>
      </c>
      <c r="O21" s="349">
        <f t="shared" si="11"/>
        <v>0</v>
      </c>
      <c r="P21" s="349">
        <f t="shared" si="12"/>
        <v>0</v>
      </c>
      <c r="Q21" s="349">
        <f t="shared" si="13"/>
        <v>0</v>
      </c>
      <c r="R21" s="349">
        <f t="shared" si="14"/>
        <v>0</v>
      </c>
      <c r="S21" s="349">
        <f t="shared" si="15"/>
        <v>0</v>
      </c>
      <c r="T21" s="349">
        <f t="shared" si="16"/>
        <v>0</v>
      </c>
      <c r="U21" s="349">
        <f t="shared" si="17"/>
        <v>0</v>
      </c>
      <c r="V21" s="349">
        <f t="shared" si="18"/>
        <v>0</v>
      </c>
      <c r="W21" s="349">
        <f t="shared" si="19"/>
        <v>0</v>
      </c>
      <c r="X21" s="349">
        <f t="shared" si="20"/>
        <v>0</v>
      </c>
      <c r="Y21" s="349">
        <f t="shared" si="21"/>
        <v>0</v>
      </c>
      <c r="Z21" s="349">
        <f t="shared" si="22"/>
        <v>0</v>
      </c>
      <c r="AA21" s="349">
        <f t="shared" si="23"/>
        <v>0</v>
      </c>
      <c r="AB21" s="349">
        <f t="shared" si="24"/>
        <v>0</v>
      </c>
      <c r="AC21" s="349">
        <f t="shared" si="25"/>
        <v>0</v>
      </c>
      <c r="AD21" s="349">
        <f t="shared" si="26"/>
        <v>0</v>
      </c>
      <c r="AE21" s="349">
        <f t="shared" si="27"/>
        <v>0</v>
      </c>
      <c r="AF21" s="349">
        <f t="shared" si="28"/>
        <v>0</v>
      </c>
      <c r="AG21" s="349">
        <f t="shared" si="29"/>
        <v>0</v>
      </c>
      <c r="AH21" s="349">
        <f t="shared" si="30"/>
        <v>0</v>
      </c>
    </row>
    <row r="22" spans="1:34" ht="11.25">
      <c r="A22" s="348">
        <v>130</v>
      </c>
      <c r="B22" s="348" t="s">
        <v>41</v>
      </c>
      <c r="C22" s="349" t="s">
        <v>445</v>
      </c>
      <c r="D22" s="349">
        <f t="shared" si="0"/>
        <v>0</v>
      </c>
      <c r="E22" s="349">
        <f t="shared" si="1"/>
        <v>0</v>
      </c>
      <c r="F22" s="349">
        <f t="shared" si="2"/>
        <v>0</v>
      </c>
      <c r="G22" s="349">
        <f t="shared" si="3"/>
        <v>0</v>
      </c>
      <c r="H22" s="349">
        <f t="shared" si="4"/>
        <v>0</v>
      </c>
      <c r="I22" s="349">
        <f t="shared" si="5"/>
        <v>0</v>
      </c>
      <c r="J22" s="349">
        <f t="shared" si="6"/>
        <v>0</v>
      </c>
      <c r="K22" s="349">
        <f t="shared" si="7"/>
        <v>0</v>
      </c>
      <c r="L22" s="349">
        <f t="shared" si="8"/>
        <v>0</v>
      </c>
      <c r="M22" s="349">
        <f t="shared" si="9"/>
        <v>0</v>
      </c>
      <c r="N22" s="349">
        <f t="shared" si="10"/>
        <v>0</v>
      </c>
      <c r="O22" s="349">
        <f t="shared" si="11"/>
        <v>0</v>
      </c>
      <c r="P22" s="349">
        <f t="shared" si="12"/>
        <v>0</v>
      </c>
      <c r="Q22" s="349">
        <f t="shared" si="13"/>
        <v>0</v>
      </c>
      <c r="R22" s="349">
        <f t="shared" si="14"/>
        <v>0</v>
      </c>
      <c r="S22" s="349">
        <f t="shared" si="15"/>
        <v>0</v>
      </c>
      <c r="T22" s="349">
        <f t="shared" si="16"/>
        <v>0</v>
      </c>
      <c r="U22" s="349">
        <f t="shared" si="17"/>
        <v>0</v>
      </c>
      <c r="V22" s="349">
        <f t="shared" si="18"/>
        <v>0</v>
      </c>
      <c r="W22" s="349">
        <f t="shared" si="19"/>
        <v>0</v>
      </c>
      <c r="X22" s="349">
        <f t="shared" si="20"/>
        <v>0</v>
      </c>
      <c r="Y22" s="349">
        <f t="shared" si="21"/>
        <v>0</v>
      </c>
      <c r="Z22" s="349">
        <f t="shared" si="22"/>
        <v>0</v>
      </c>
      <c r="AA22" s="349">
        <f t="shared" si="23"/>
        <v>0</v>
      </c>
      <c r="AB22" s="349">
        <f t="shared" si="24"/>
        <v>0</v>
      </c>
      <c r="AC22" s="349">
        <f t="shared" si="25"/>
        <v>0</v>
      </c>
      <c r="AD22" s="349">
        <f t="shared" si="26"/>
        <v>0</v>
      </c>
      <c r="AE22" s="349">
        <f t="shared" si="27"/>
        <v>0</v>
      </c>
      <c r="AF22" s="349">
        <f t="shared" si="28"/>
        <v>0</v>
      </c>
      <c r="AG22" s="349">
        <f t="shared" si="29"/>
        <v>0</v>
      </c>
      <c r="AH22" s="349">
        <f t="shared" si="30"/>
        <v>0</v>
      </c>
    </row>
    <row r="23" spans="1:34" ht="11.25">
      <c r="A23" s="348">
        <v>140</v>
      </c>
      <c r="B23" s="348" t="s">
        <v>44</v>
      </c>
      <c r="C23" s="349" t="s">
        <v>45</v>
      </c>
      <c r="D23" s="349">
        <f t="shared" si="0"/>
        <v>0</v>
      </c>
      <c r="E23" s="349">
        <f t="shared" si="1"/>
        <v>0</v>
      </c>
      <c r="F23" s="349">
        <f t="shared" si="2"/>
        <v>0</v>
      </c>
      <c r="G23" s="349">
        <f t="shared" si="3"/>
        <v>0</v>
      </c>
      <c r="H23" s="349">
        <f t="shared" si="4"/>
        <v>0</v>
      </c>
      <c r="I23" s="349">
        <f t="shared" si="5"/>
        <v>0</v>
      </c>
      <c r="J23" s="349">
        <f t="shared" si="6"/>
        <v>0</v>
      </c>
      <c r="K23" s="349">
        <f t="shared" si="7"/>
        <v>0</v>
      </c>
      <c r="L23" s="349">
        <f t="shared" si="8"/>
        <v>0</v>
      </c>
      <c r="M23" s="349">
        <f t="shared" si="9"/>
        <v>0</v>
      </c>
      <c r="N23" s="349">
        <f t="shared" si="10"/>
        <v>0</v>
      </c>
      <c r="O23" s="349">
        <f t="shared" si="11"/>
        <v>0</v>
      </c>
      <c r="P23" s="349">
        <f t="shared" si="12"/>
        <v>0</v>
      </c>
      <c r="Q23" s="349">
        <f t="shared" si="13"/>
        <v>0</v>
      </c>
      <c r="R23" s="349">
        <f t="shared" si="14"/>
        <v>0</v>
      </c>
      <c r="S23" s="349">
        <f t="shared" si="15"/>
        <v>0</v>
      </c>
      <c r="T23" s="349">
        <f t="shared" si="16"/>
        <v>0</v>
      </c>
      <c r="U23" s="349">
        <f t="shared" si="17"/>
        <v>0</v>
      </c>
      <c r="V23" s="349">
        <f t="shared" si="18"/>
        <v>0</v>
      </c>
      <c r="W23" s="349">
        <f t="shared" si="19"/>
        <v>0</v>
      </c>
      <c r="X23" s="349">
        <f t="shared" si="20"/>
        <v>0</v>
      </c>
      <c r="Y23" s="349">
        <f t="shared" si="21"/>
        <v>0</v>
      </c>
      <c r="Z23" s="349">
        <f t="shared" si="22"/>
        <v>0</v>
      </c>
      <c r="AA23" s="349">
        <f t="shared" si="23"/>
        <v>0</v>
      </c>
      <c r="AB23" s="349">
        <f t="shared" si="24"/>
        <v>0</v>
      </c>
      <c r="AC23" s="349">
        <f t="shared" si="25"/>
        <v>0</v>
      </c>
      <c r="AD23" s="349">
        <f t="shared" si="26"/>
        <v>0</v>
      </c>
      <c r="AE23" s="349">
        <f t="shared" si="27"/>
        <v>0</v>
      </c>
      <c r="AF23" s="349">
        <f t="shared" si="28"/>
        <v>0</v>
      </c>
      <c r="AG23" s="349">
        <f t="shared" si="29"/>
        <v>0</v>
      </c>
      <c r="AH23" s="349">
        <f t="shared" si="30"/>
        <v>0</v>
      </c>
    </row>
    <row r="24" spans="1:34" ht="11.25">
      <c r="A24" s="348">
        <v>150</v>
      </c>
      <c r="B24" s="348" t="s">
        <v>47</v>
      </c>
      <c r="C24" s="349" t="s">
        <v>48</v>
      </c>
      <c r="D24" s="349">
        <f t="shared" si="0"/>
        <v>0</v>
      </c>
      <c r="E24" s="349">
        <f t="shared" si="1"/>
        <v>0</v>
      </c>
      <c r="F24" s="349">
        <f t="shared" si="2"/>
        <v>0</v>
      </c>
      <c r="G24" s="349">
        <f t="shared" si="3"/>
        <v>0</v>
      </c>
      <c r="H24" s="349">
        <f t="shared" si="4"/>
        <v>0</v>
      </c>
      <c r="I24" s="349">
        <f t="shared" si="5"/>
        <v>0</v>
      </c>
      <c r="J24" s="349">
        <f t="shared" si="6"/>
        <v>0</v>
      </c>
      <c r="K24" s="349">
        <f t="shared" si="7"/>
        <v>0</v>
      </c>
      <c r="L24" s="349">
        <f t="shared" si="8"/>
        <v>0</v>
      </c>
      <c r="M24" s="349">
        <f t="shared" si="9"/>
        <v>0</v>
      </c>
      <c r="N24" s="349">
        <f t="shared" si="10"/>
        <v>0</v>
      </c>
      <c r="O24" s="349">
        <f t="shared" si="11"/>
        <v>0</v>
      </c>
      <c r="P24" s="349">
        <f t="shared" si="12"/>
        <v>0</v>
      </c>
      <c r="Q24" s="349">
        <f t="shared" si="13"/>
        <v>0</v>
      </c>
      <c r="R24" s="349">
        <f t="shared" si="14"/>
        <v>0</v>
      </c>
      <c r="S24" s="349">
        <f t="shared" si="15"/>
        <v>0</v>
      </c>
      <c r="T24" s="349">
        <f t="shared" si="16"/>
        <v>0</v>
      </c>
      <c r="U24" s="349">
        <f t="shared" si="17"/>
        <v>0</v>
      </c>
      <c r="V24" s="349">
        <f t="shared" si="18"/>
        <v>0</v>
      </c>
      <c r="W24" s="349">
        <f t="shared" si="19"/>
        <v>0</v>
      </c>
      <c r="X24" s="349">
        <f t="shared" si="20"/>
        <v>0</v>
      </c>
      <c r="Y24" s="349">
        <f t="shared" si="21"/>
        <v>0</v>
      </c>
      <c r="Z24" s="349">
        <f t="shared" si="22"/>
        <v>0</v>
      </c>
      <c r="AA24" s="349">
        <f t="shared" si="23"/>
        <v>0</v>
      </c>
      <c r="AB24" s="349">
        <f t="shared" si="24"/>
        <v>0</v>
      </c>
      <c r="AC24" s="349">
        <f t="shared" si="25"/>
        <v>0</v>
      </c>
      <c r="AD24" s="349">
        <f t="shared" si="26"/>
        <v>0</v>
      </c>
      <c r="AE24" s="349">
        <f t="shared" si="27"/>
        <v>0</v>
      </c>
      <c r="AF24" s="349">
        <f t="shared" si="28"/>
        <v>0</v>
      </c>
      <c r="AG24" s="349">
        <f t="shared" si="29"/>
        <v>0</v>
      </c>
      <c r="AH24" s="349">
        <f t="shared" si="30"/>
        <v>0</v>
      </c>
    </row>
    <row r="25" spans="1:34" ht="11.25">
      <c r="A25" s="348">
        <v>160</v>
      </c>
      <c r="B25" s="348" t="s">
        <v>50</v>
      </c>
      <c r="C25" s="349" t="s">
        <v>51</v>
      </c>
      <c r="D25" s="349">
        <f t="shared" si="0"/>
        <v>0</v>
      </c>
      <c r="E25" s="349">
        <f t="shared" si="1"/>
        <v>0</v>
      </c>
      <c r="F25" s="349">
        <f t="shared" si="2"/>
        <v>0</v>
      </c>
      <c r="G25" s="349">
        <f t="shared" si="3"/>
        <v>0</v>
      </c>
      <c r="H25" s="349">
        <f t="shared" si="4"/>
        <v>0</v>
      </c>
      <c r="I25" s="349">
        <f t="shared" si="5"/>
        <v>0</v>
      </c>
      <c r="J25" s="349">
        <f t="shared" si="6"/>
        <v>0</v>
      </c>
      <c r="K25" s="349">
        <f t="shared" si="7"/>
        <v>0</v>
      </c>
      <c r="L25" s="349">
        <f t="shared" si="8"/>
        <v>0</v>
      </c>
      <c r="M25" s="349">
        <f t="shared" si="9"/>
        <v>0</v>
      </c>
      <c r="N25" s="349">
        <f t="shared" si="10"/>
        <v>0</v>
      </c>
      <c r="O25" s="349">
        <f t="shared" si="11"/>
        <v>0</v>
      </c>
      <c r="P25" s="349">
        <f t="shared" si="12"/>
        <v>0</v>
      </c>
      <c r="Q25" s="349">
        <f t="shared" si="13"/>
        <v>0</v>
      </c>
      <c r="R25" s="349">
        <f t="shared" si="14"/>
        <v>0</v>
      </c>
      <c r="S25" s="349">
        <f t="shared" si="15"/>
        <v>0</v>
      </c>
      <c r="T25" s="349">
        <f t="shared" si="16"/>
        <v>0</v>
      </c>
      <c r="U25" s="349">
        <f t="shared" si="17"/>
        <v>0</v>
      </c>
      <c r="V25" s="349">
        <f t="shared" si="18"/>
        <v>0</v>
      </c>
      <c r="W25" s="349">
        <f t="shared" si="19"/>
        <v>0</v>
      </c>
      <c r="X25" s="349">
        <f t="shared" si="20"/>
        <v>0</v>
      </c>
      <c r="Y25" s="349">
        <f t="shared" si="21"/>
        <v>0</v>
      </c>
      <c r="Z25" s="349">
        <f t="shared" si="22"/>
        <v>0</v>
      </c>
      <c r="AA25" s="349">
        <f t="shared" si="23"/>
        <v>0</v>
      </c>
      <c r="AB25" s="349">
        <f t="shared" si="24"/>
        <v>0</v>
      </c>
      <c r="AC25" s="349">
        <f t="shared" si="25"/>
        <v>0</v>
      </c>
      <c r="AD25" s="349">
        <f t="shared" si="26"/>
        <v>0</v>
      </c>
      <c r="AE25" s="349">
        <f t="shared" si="27"/>
        <v>0</v>
      </c>
      <c r="AF25" s="349">
        <f t="shared" si="28"/>
        <v>0</v>
      </c>
      <c r="AG25" s="349">
        <f t="shared" si="29"/>
        <v>0</v>
      </c>
      <c r="AH25" s="349">
        <f t="shared" si="30"/>
        <v>0</v>
      </c>
    </row>
    <row r="26" spans="1:34" ht="11.25">
      <c r="A26" s="348">
        <v>170</v>
      </c>
      <c r="B26" s="348" t="s">
        <v>53</v>
      </c>
      <c r="C26" s="349" t="s">
        <v>54</v>
      </c>
      <c r="D26" s="349">
        <f t="shared" si="0"/>
        <v>0</v>
      </c>
      <c r="E26" s="349">
        <f t="shared" si="1"/>
        <v>0</v>
      </c>
      <c r="F26" s="349">
        <f t="shared" si="2"/>
        <v>0</v>
      </c>
      <c r="G26" s="349">
        <f t="shared" si="3"/>
        <v>0</v>
      </c>
      <c r="H26" s="349">
        <f t="shared" si="4"/>
        <v>0</v>
      </c>
      <c r="I26" s="349">
        <f t="shared" si="5"/>
        <v>0</v>
      </c>
      <c r="J26" s="349">
        <f t="shared" si="6"/>
        <v>0</v>
      </c>
      <c r="K26" s="349">
        <f t="shared" si="7"/>
        <v>0</v>
      </c>
      <c r="L26" s="349">
        <f t="shared" si="8"/>
        <v>0</v>
      </c>
      <c r="M26" s="349">
        <f t="shared" si="9"/>
        <v>0</v>
      </c>
      <c r="N26" s="349">
        <f t="shared" si="10"/>
        <v>0</v>
      </c>
      <c r="O26" s="349">
        <f t="shared" si="11"/>
        <v>0</v>
      </c>
      <c r="P26" s="349">
        <f t="shared" si="12"/>
        <v>0</v>
      </c>
      <c r="Q26" s="349">
        <f t="shared" si="13"/>
        <v>0</v>
      </c>
      <c r="R26" s="349">
        <f t="shared" si="14"/>
        <v>0</v>
      </c>
      <c r="S26" s="349">
        <f t="shared" si="15"/>
        <v>0</v>
      </c>
      <c r="T26" s="349">
        <f t="shared" si="16"/>
        <v>0</v>
      </c>
      <c r="U26" s="349">
        <f t="shared" si="17"/>
        <v>0</v>
      </c>
      <c r="V26" s="349">
        <f t="shared" si="18"/>
        <v>0</v>
      </c>
      <c r="W26" s="349">
        <f t="shared" si="19"/>
        <v>0</v>
      </c>
      <c r="X26" s="349">
        <f t="shared" si="20"/>
        <v>0</v>
      </c>
      <c r="Y26" s="349">
        <f t="shared" si="21"/>
        <v>0</v>
      </c>
      <c r="Z26" s="349">
        <f t="shared" si="22"/>
        <v>0</v>
      </c>
      <c r="AA26" s="349">
        <f t="shared" si="23"/>
        <v>0</v>
      </c>
      <c r="AB26" s="349">
        <f t="shared" si="24"/>
        <v>0</v>
      </c>
      <c r="AC26" s="349">
        <f t="shared" si="25"/>
        <v>0</v>
      </c>
      <c r="AD26" s="349">
        <f t="shared" si="26"/>
        <v>0</v>
      </c>
      <c r="AE26" s="349">
        <f t="shared" si="27"/>
        <v>0</v>
      </c>
      <c r="AF26" s="349">
        <f t="shared" si="28"/>
        <v>0</v>
      </c>
      <c r="AG26" s="349">
        <f t="shared" si="29"/>
        <v>0</v>
      </c>
      <c r="AH26" s="349">
        <f t="shared" si="30"/>
        <v>0</v>
      </c>
    </row>
    <row r="27" spans="1:34" ht="11.25">
      <c r="A27" s="348">
        <v>180</v>
      </c>
      <c r="B27" s="348" t="s">
        <v>56</v>
      </c>
      <c r="C27" s="349" t="s">
        <v>57</v>
      </c>
      <c r="D27" s="349">
        <f t="shared" si="0"/>
        <v>0</v>
      </c>
      <c r="E27" s="349">
        <f t="shared" si="1"/>
        <v>0</v>
      </c>
      <c r="F27" s="349">
        <f t="shared" si="2"/>
        <v>0</v>
      </c>
      <c r="G27" s="349">
        <f t="shared" si="3"/>
        <v>0</v>
      </c>
      <c r="H27" s="349">
        <f t="shared" si="4"/>
        <v>0</v>
      </c>
      <c r="I27" s="349">
        <f t="shared" si="5"/>
        <v>0</v>
      </c>
      <c r="J27" s="349">
        <f t="shared" si="6"/>
        <v>0</v>
      </c>
      <c r="K27" s="349">
        <f t="shared" si="7"/>
        <v>0</v>
      </c>
      <c r="L27" s="349">
        <f t="shared" si="8"/>
        <v>0</v>
      </c>
      <c r="M27" s="349">
        <f t="shared" si="9"/>
        <v>0</v>
      </c>
      <c r="N27" s="349">
        <f t="shared" si="10"/>
        <v>0</v>
      </c>
      <c r="O27" s="349">
        <f t="shared" si="11"/>
        <v>0</v>
      </c>
      <c r="P27" s="349">
        <f t="shared" si="12"/>
        <v>0</v>
      </c>
      <c r="Q27" s="349">
        <f t="shared" si="13"/>
        <v>0</v>
      </c>
      <c r="R27" s="349">
        <f t="shared" si="14"/>
        <v>0</v>
      </c>
      <c r="S27" s="349">
        <f t="shared" si="15"/>
        <v>0</v>
      </c>
      <c r="T27" s="349">
        <f t="shared" si="16"/>
        <v>0</v>
      </c>
      <c r="U27" s="349">
        <f t="shared" si="17"/>
        <v>0</v>
      </c>
      <c r="V27" s="349">
        <f t="shared" si="18"/>
        <v>0</v>
      </c>
      <c r="W27" s="349">
        <f t="shared" si="19"/>
        <v>0</v>
      </c>
      <c r="X27" s="349">
        <f t="shared" si="20"/>
        <v>0</v>
      </c>
      <c r="Y27" s="349">
        <f t="shared" si="21"/>
        <v>0</v>
      </c>
      <c r="Z27" s="349">
        <f t="shared" si="22"/>
        <v>0</v>
      </c>
      <c r="AA27" s="349">
        <f t="shared" si="23"/>
        <v>0</v>
      </c>
      <c r="AB27" s="349">
        <f t="shared" si="24"/>
        <v>0</v>
      </c>
      <c r="AC27" s="349">
        <f t="shared" si="25"/>
        <v>0</v>
      </c>
      <c r="AD27" s="349">
        <f t="shared" si="26"/>
        <v>0</v>
      </c>
      <c r="AE27" s="349">
        <f t="shared" si="27"/>
        <v>0</v>
      </c>
      <c r="AF27" s="349">
        <f t="shared" si="28"/>
        <v>0</v>
      </c>
      <c r="AG27" s="349">
        <f t="shared" si="29"/>
        <v>0</v>
      </c>
      <c r="AH27" s="349">
        <f t="shared" si="30"/>
        <v>0</v>
      </c>
    </row>
    <row r="28" spans="1:34" ht="11.25">
      <c r="A28" s="348">
        <v>182</v>
      </c>
      <c r="B28" s="348" t="s">
        <v>59</v>
      </c>
      <c r="C28" s="349" t="s">
        <v>60</v>
      </c>
      <c r="D28" s="349">
        <f t="shared" si="0"/>
        <v>0</v>
      </c>
      <c r="E28" s="349">
        <f t="shared" si="1"/>
        <v>0</v>
      </c>
      <c r="F28" s="349">
        <f t="shared" si="2"/>
        <v>0</v>
      </c>
      <c r="G28" s="349">
        <f t="shared" si="3"/>
        <v>0</v>
      </c>
      <c r="H28" s="349">
        <f t="shared" si="4"/>
        <v>0</v>
      </c>
      <c r="I28" s="349">
        <f t="shared" si="5"/>
        <v>0</v>
      </c>
      <c r="J28" s="349">
        <f t="shared" si="6"/>
        <v>0</v>
      </c>
      <c r="K28" s="349">
        <f t="shared" si="7"/>
        <v>0</v>
      </c>
      <c r="L28" s="349">
        <f t="shared" si="8"/>
        <v>0</v>
      </c>
      <c r="M28" s="349">
        <f t="shared" si="9"/>
        <v>0</v>
      </c>
      <c r="N28" s="349">
        <f t="shared" si="10"/>
        <v>0</v>
      </c>
      <c r="O28" s="349">
        <f t="shared" si="11"/>
        <v>0</v>
      </c>
      <c r="P28" s="349">
        <f t="shared" si="12"/>
        <v>0</v>
      </c>
      <c r="Q28" s="349">
        <f t="shared" si="13"/>
        <v>0</v>
      </c>
      <c r="R28" s="349">
        <f t="shared" si="14"/>
        <v>0</v>
      </c>
      <c r="S28" s="349">
        <f t="shared" si="15"/>
        <v>0</v>
      </c>
      <c r="T28" s="349">
        <f t="shared" si="16"/>
        <v>0</v>
      </c>
      <c r="U28" s="349">
        <f t="shared" si="17"/>
        <v>0</v>
      </c>
      <c r="V28" s="349">
        <f t="shared" si="18"/>
        <v>0</v>
      </c>
      <c r="W28" s="349">
        <f t="shared" si="19"/>
        <v>0</v>
      </c>
      <c r="X28" s="349">
        <f t="shared" si="20"/>
        <v>0</v>
      </c>
      <c r="Y28" s="349">
        <f t="shared" si="21"/>
        <v>0</v>
      </c>
      <c r="Z28" s="349">
        <f t="shared" si="22"/>
        <v>0</v>
      </c>
      <c r="AA28" s="349">
        <f t="shared" si="23"/>
        <v>0</v>
      </c>
      <c r="AB28" s="349">
        <f t="shared" si="24"/>
        <v>0</v>
      </c>
      <c r="AC28" s="349">
        <f t="shared" si="25"/>
        <v>0</v>
      </c>
      <c r="AD28" s="349">
        <f t="shared" si="26"/>
        <v>0</v>
      </c>
      <c r="AE28" s="349">
        <f t="shared" si="27"/>
        <v>0</v>
      </c>
      <c r="AF28" s="349">
        <f t="shared" si="28"/>
        <v>0</v>
      </c>
      <c r="AG28" s="349">
        <f t="shared" si="29"/>
        <v>0</v>
      </c>
      <c r="AH28" s="349">
        <f t="shared" si="30"/>
        <v>0</v>
      </c>
    </row>
    <row r="29" spans="1:34" ht="11.25">
      <c r="A29" s="348">
        <v>184</v>
      </c>
      <c r="B29" s="348" t="s">
        <v>62</v>
      </c>
      <c r="C29" s="349" t="s">
        <v>63</v>
      </c>
      <c r="D29" s="349">
        <f t="shared" si="0"/>
        <v>0</v>
      </c>
      <c r="E29" s="349">
        <f t="shared" si="1"/>
        <v>0</v>
      </c>
      <c r="F29" s="349">
        <f t="shared" si="2"/>
        <v>0</v>
      </c>
      <c r="G29" s="349">
        <f t="shared" si="3"/>
        <v>0</v>
      </c>
      <c r="H29" s="349">
        <f t="shared" si="4"/>
        <v>0</v>
      </c>
      <c r="I29" s="349">
        <f t="shared" si="5"/>
        <v>0</v>
      </c>
      <c r="J29" s="349">
        <f t="shared" si="6"/>
        <v>0</v>
      </c>
      <c r="K29" s="349">
        <f t="shared" si="7"/>
        <v>0</v>
      </c>
      <c r="L29" s="349">
        <f t="shared" si="8"/>
        <v>0</v>
      </c>
      <c r="M29" s="349">
        <f t="shared" si="9"/>
        <v>0</v>
      </c>
      <c r="N29" s="349">
        <f t="shared" si="10"/>
        <v>0</v>
      </c>
      <c r="O29" s="349">
        <f t="shared" si="11"/>
        <v>0</v>
      </c>
      <c r="P29" s="349">
        <f t="shared" si="12"/>
        <v>0</v>
      </c>
      <c r="Q29" s="349">
        <f t="shared" si="13"/>
        <v>0</v>
      </c>
      <c r="R29" s="349">
        <f t="shared" si="14"/>
        <v>0</v>
      </c>
      <c r="S29" s="349">
        <f t="shared" si="15"/>
        <v>0</v>
      </c>
      <c r="T29" s="349">
        <f t="shared" si="16"/>
        <v>0</v>
      </c>
      <c r="U29" s="349">
        <f t="shared" si="17"/>
        <v>0</v>
      </c>
      <c r="V29" s="349">
        <f t="shared" si="18"/>
        <v>0</v>
      </c>
      <c r="W29" s="349">
        <f t="shared" si="19"/>
        <v>0</v>
      </c>
      <c r="X29" s="349">
        <f t="shared" si="20"/>
        <v>0</v>
      </c>
      <c r="Y29" s="349">
        <f t="shared" si="21"/>
        <v>0</v>
      </c>
      <c r="Z29" s="349">
        <f t="shared" si="22"/>
        <v>0</v>
      </c>
      <c r="AA29" s="349">
        <f t="shared" si="23"/>
        <v>0</v>
      </c>
      <c r="AB29" s="349">
        <f t="shared" si="24"/>
        <v>0</v>
      </c>
      <c r="AC29" s="349">
        <f t="shared" si="25"/>
        <v>0</v>
      </c>
      <c r="AD29" s="349">
        <f t="shared" si="26"/>
        <v>0</v>
      </c>
      <c r="AE29" s="349">
        <f t="shared" si="27"/>
        <v>0</v>
      </c>
      <c r="AF29" s="349">
        <f t="shared" si="28"/>
        <v>0</v>
      </c>
      <c r="AG29" s="349">
        <f t="shared" si="29"/>
        <v>0</v>
      </c>
      <c r="AH29" s="349">
        <f t="shared" si="30"/>
        <v>0</v>
      </c>
    </row>
    <row r="30" spans="1:34" ht="11.25">
      <c r="A30" s="348">
        <v>190</v>
      </c>
      <c r="B30" s="348" t="s">
        <v>65</v>
      </c>
      <c r="C30" s="349" t="s">
        <v>66</v>
      </c>
      <c r="D30" s="349">
        <f t="shared" si="0"/>
        <v>0</v>
      </c>
      <c r="E30" s="349">
        <f t="shared" si="1"/>
        <v>0</v>
      </c>
      <c r="F30" s="349">
        <f t="shared" si="2"/>
        <v>0</v>
      </c>
      <c r="G30" s="349">
        <f t="shared" si="3"/>
        <v>0</v>
      </c>
      <c r="H30" s="349">
        <f t="shared" si="4"/>
        <v>0</v>
      </c>
      <c r="I30" s="349">
        <f t="shared" si="5"/>
        <v>0</v>
      </c>
      <c r="J30" s="349">
        <f t="shared" si="6"/>
        <v>0</v>
      </c>
      <c r="K30" s="349">
        <f t="shared" si="7"/>
        <v>0</v>
      </c>
      <c r="L30" s="349">
        <f t="shared" si="8"/>
        <v>0</v>
      </c>
      <c r="M30" s="349">
        <f t="shared" si="9"/>
        <v>0</v>
      </c>
      <c r="N30" s="349">
        <f t="shared" si="10"/>
        <v>0</v>
      </c>
      <c r="O30" s="349">
        <f t="shared" si="11"/>
        <v>0</v>
      </c>
      <c r="P30" s="349">
        <f t="shared" si="12"/>
        <v>0</v>
      </c>
      <c r="Q30" s="349">
        <f t="shared" si="13"/>
        <v>0</v>
      </c>
      <c r="R30" s="349">
        <f t="shared" si="14"/>
        <v>0</v>
      </c>
      <c r="S30" s="349">
        <f t="shared" si="15"/>
        <v>0</v>
      </c>
      <c r="T30" s="349">
        <f t="shared" si="16"/>
        <v>0</v>
      </c>
      <c r="U30" s="349">
        <f t="shared" si="17"/>
        <v>0</v>
      </c>
      <c r="V30" s="349">
        <f t="shared" si="18"/>
        <v>0</v>
      </c>
      <c r="W30" s="349">
        <f t="shared" si="19"/>
        <v>0</v>
      </c>
      <c r="X30" s="349">
        <f t="shared" si="20"/>
        <v>0</v>
      </c>
      <c r="Y30" s="349">
        <f t="shared" si="21"/>
        <v>0</v>
      </c>
      <c r="Z30" s="349">
        <f t="shared" si="22"/>
        <v>0</v>
      </c>
      <c r="AA30" s="349">
        <f t="shared" si="23"/>
        <v>0</v>
      </c>
      <c r="AB30" s="349">
        <f t="shared" si="24"/>
        <v>0</v>
      </c>
      <c r="AC30" s="349">
        <f t="shared" si="25"/>
        <v>0</v>
      </c>
      <c r="AD30" s="349">
        <f t="shared" si="26"/>
        <v>0</v>
      </c>
      <c r="AE30" s="349">
        <f t="shared" si="27"/>
        <v>0</v>
      </c>
      <c r="AF30" s="349">
        <f t="shared" si="28"/>
        <v>0</v>
      </c>
      <c r="AG30" s="349">
        <f t="shared" si="29"/>
        <v>0</v>
      </c>
      <c r="AH30" s="349">
        <f t="shared" si="30"/>
        <v>0</v>
      </c>
    </row>
    <row r="31" spans="1:34" ht="11.25">
      <c r="A31" s="348">
        <v>200</v>
      </c>
      <c r="B31" s="348">
        <v>3</v>
      </c>
      <c r="C31" s="349" t="s">
        <v>68</v>
      </c>
      <c r="D31" s="349">
        <f t="shared" si="0"/>
        <v>0</v>
      </c>
      <c r="E31" s="349">
        <f t="shared" si="1"/>
        <v>0</v>
      </c>
      <c r="F31" s="349">
        <f t="shared" si="2"/>
        <v>0</v>
      </c>
      <c r="G31" s="349">
        <f t="shared" si="3"/>
        <v>0</v>
      </c>
      <c r="H31" s="349">
        <f t="shared" si="4"/>
        <v>0</v>
      </c>
      <c r="I31" s="349">
        <f t="shared" si="5"/>
        <v>0</v>
      </c>
      <c r="J31" s="349">
        <f t="shared" si="6"/>
        <v>0</v>
      </c>
      <c r="K31" s="349">
        <f t="shared" si="7"/>
        <v>0</v>
      </c>
      <c r="L31" s="349">
        <f t="shared" si="8"/>
        <v>0</v>
      </c>
      <c r="M31" s="349">
        <f t="shared" si="9"/>
        <v>0</v>
      </c>
      <c r="N31" s="349">
        <f t="shared" si="10"/>
        <v>0</v>
      </c>
      <c r="O31" s="349">
        <f t="shared" si="11"/>
        <v>0</v>
      </c>
      <c r="P31" s="349">
        <f t="shared" si="12"/>
        <v>0</v>
      </c>
      <c r="Q31" s="349">
        <f t="shared" si="13"/>
        <v>0</v>
      </c>
      <c r="R31" s="349">
        <f t="shared" si="14"/>
        <v>0</v>
      </c>
      <c r="S31" s="349">
        <f t="shared" si="15"/>
        <v>0</v>
      </c>
      <c r="T31" s="349">
        <f t="shared" si="16"/>
        <v>0</v>
      </c>
      <c r="U31" s="349">
        <f t="shared" si="17"/>
        <v>0</v>
      </c>
      <c r="V31" s="349">
        <f t="shared" si="18"/>
        <v>0</v>
      </c>
      <c r="W31" s="349">
        <f t="shared" si="19"/>
        <v>0</v>
      </c>
      <c r="X31" s="349">
        <f t="shared" si="20"/>
        <v>0</v>
      </c>
      <c r="Y31" s="349">
        <f t="shared" si="21"/>
        <v>0</v>
      </c>
      <c r="Z31" s="349">
        <f t="shared" si="22"/>
        <v>0</v>
      </c>
      <c r="AA31" s="349">
        <f t="shared" si="23"/>
        <v>0</v>
      </c>
      <c r="AB31" s="349">
        <f t="shared" si="24"/>
        <v>0</v>
      </c>
      <c r="AC31" s="349">
        <f t="shared" si="25"/>
        <v>0</v>
      </c>
      <c r="AD31" s="349">
        <f t="shared" si="26"/>
        <v>0</v>
      </c>
      <c r="AE31" s="349">
        <f t="shared" si="27"/>
        <v>0</v>
      </c>
      <c r="AF31" s="349">
        <f t="shared" si="28"/>
        <v>0</v>
      </c>
      <c r="AG31" s="349">
        <f t="shared" si="29"/>
        <v>0</v>
      </c>
      <c r="AH31" s="349">
        <f t="shared" si="30"/>
        <v>0</v>
      </c>
    </row>
    <row r="32" spans="1:34" ht="11.25">
      <c r="A32" s="348">
        <v>210</v>
      </c>
      <c r="B32" s="348">
        <v>4</v>
      </c>
      <c r="C32" s="349" t="s">
        <v>69</v>
      </c>
      <c r="D32" s="349">
        <f t="shared" si="0"/>
        <v>0</v>
      </c>
      <c r="E32" s="349">
        <f t="shared" si="1"/>
        <v>0</v>
      </c>
      <c r="F32" s="349">
        <f t="shared" si="2"/>
        <v>0</v>
      </c>
      <c r="G32" s="349">
        <f t="shared" si="3"/>
        <v>0</v>
      </c>
      <c r="H32" s="349">
        <f t="shared" si="4"/>
        <v>0</v>
      </c>
      <c r="I32" s="349">
        <f t="shared" si="5"/>
        <v>0</v>
      </c>
      <c r="J32" s="349">
        <f t="shared" si="6"/>
        <v>0</v>
      </c>
      <c r="K32" s="349">
        <f t="shared" si="7"/>
        <v>0</v>
      </c>
      <c r="L32" s="349">
        <f t="shared" si="8"/>
        <v>0</v>
      </c>
      <c r="M32" s="349">
        <f t="shared" si="9"/>
        <v>0</v>
      </c>
      <c r="N32" s="349">
        <f t="shared" si="10"/>
        <v>0</v>
      </c>
      <c r="O32" s="349">
        <f t="shared" si="11"/>
        <v>0</v>
      </c>
      <c r="P32" s="349">
        <f t="shared" si="12"/>
        <v>0</v>
      </c>
      <c r="Q32" s="349">
        <f t="shared" si="13"/>
        <v>0</v>
      </c>
      <c r="R32" s="349">
        <f t="shared" si="14"/>
        <v>0</v>
      </c>
      <c r="S32" s="349">
        <f t="shared" si="15"/>
        <v>0</v>
      </c>
      <c r="T32" s="349">
        <f t="shared" si="16"/>
        <v>0</v>
      </c>
      <c r="U32" s="349">
        <f t="shared" si="17"/>
        <v>0</v>
      </c>
      <c r="V32" s="349">
        <f t="shared" si="18"/>
        <v>0</v>
      </c>
      <c r="W32" s="349">
        <f t="shared" si="19"/>
        <v>0</v>
      </c>
      <c r="X32" s="349">
        <f t="shared" si="20"/>
        <v>0</v>
      </c>
      <c r="Y32" s="349">
        <f t="shared" si="21"/>
        <v>0</v>
      </c>
      <c r="Z32" s="349">
        <f t="shared" si="22"/>
        <v>0</v>
      </c>
      <c r="AA32" s="349">
        <f t="shared" si="23"/>
        <v>0</v>
      </c>
      <c r="AB32" s="349">
        <f t="shared" si="24"/>
        <v>0</v>
      </c>
      <c r="AC32" s="349">
        <f t="shared" si="25"/>
        <v>0</v>
      </c>
      <c r="AD32" s="349">
        <f t="shared" si="26"/>
        <v>0</v>
      </c>
      <c r="AE32" s="349">
        <f t="shared" si="27"/>
        <v>0</v>
      </c>
      <c r="AF32" s="349">
        <f t="shared" si="28"/>
        <v>0</v>
      </c>
      <c r="AG32" s="349">
        <f t="shared" si="29"/>
        <v>0</v>
      </c>
      <c r="AH32" s="349">
        <f t="shared" si="30"/>
        <v>0</v>
      </c>
    </row>
    <row r="33" spans="1:34" ht="11.25">
      <c r="A33" s="348">
        <v>220</v>
      </c>
      <c r="B33" s="348" t="s">
        <v>70</v>
      </c>
      <c r="C33" s="349" t="s">
        <v>71</v>
      </c>
      <c r="D33" s="349">
        <f t="shared" si="0"/>
        <v>0</v>
      </c>
      <c r="E33" s="349">
        <f t="shared" si="1"/>
        <v>0</v>
      </c>
      <c r="F33" s="349">
        <f t="shared" si="2"/>
        <v>0</v>
      </c>
      <c r="G33" s="349">
        <f t="shared" si="3"/>
        <v>0</v>
      </c>
      <c r="H33" s="349">
        <f t="shared" si="4"/>
        <v>0</v>
      </c>
      <c r="I33" s="349">
        <f t="shared" si="5"/>
        <v>0</v>
      </c>
      <c r="J33" s="349">
        <f t="shared" si="6"/>
        <v>0</v>
      </c>
      <c r="K33" s="349">
        <f t="shared" si="7"/>
        <v>0</v>
      </c>
      <c r="L33" s="349">
        <f t="shared" si="8"/>
        <v>0</v>
      </c>
      <c r="M33" s="349">
        <f t="shared" si="9"/>
        <v>0</v>
      </c>
      <c r="N33" s="349">
        <f t="shared" si="10"/>
        <v>0</v>
      </c>
      <c r="O33" s="349">
        <f t="shared" si="11"/>
        <v>0</v>
      </c>
      <c r="P33" s="349">
        <f t="shared" si="12"/>
        <v>0</v>
      </c>
      <c r="Q33" s="349">
        <f t="shared" si="13"/>
        <v>0</v>
      </c>
      <c r="R33" s="349">
        <f t="shared" si="14"/>
        <v>0</v>
      </c>
      <c r="S33" s="349">
        <f t="shared" si="15"/>
        <v>0</v>
      </c>
      <c r="T33" s="349">
        <f t="shared" si="16"/>
        <v>0</v>
      </c>
      <c r="U33" s="349">
        <f t="shared" si="17"/>
        <v>0</v>
      </c>
      <c r="V33" s="349">
        <f t="shared" si="18"/>
        <v>0</v>
      </c>
      <c r="W33" s="349">
        <f t="shared" si="19"/>
        <v>0</v>
      </c>
      <c r="X33" s="349">
        <f t="shared" si="20"/>
        <v>0</v>
      </c>
      <c r="Y33" s="349">
        <f t="shared" si="21"/>
        <v>0</v>
      </c>
      <c r="Z33" s="349">
        <f t="shared" si="22"/>
        <v>0</v>
      </c>
      <c r="AA33" s="349">
        <f t="shared" si="23"/>
        <v>0</v>
      </c>
      <c r="AB33" s="349">
        <f t="shared" si="24"/>
        <v>0</v>
      </c>
      <c r="AC33" s="349">
        <f t="shared" si="25"/>
        <v>0</v>
      </c>
      <c r="AD33" s="349">
        <f t="shared" si="26"/>
        <v>0</v>
      </c>
      <c r="AE33" s="349">
        <f t="shared" si="27"/>
        <v>0</v>
      </c>
      <c r="AF33" s="349">
        <f t="shared" si="28"/>
        <v>0</v>
      </c>
      <c r="AG33" s="349">
        <f t="shared" si="29"/>
        <v>0</v>
      </c>
      <c r="AH33" s="349">
        <f t="shared" si="30"/>
        <v>0</v>
      </c>
    </row>
    <row r="34" spans="1:34" ht="11.25">
      <c r="A34" s="348">
        <v>230</v>
      </c>
      <c r="B34" s="348" t="s">
        <v>73</v>
      </c>
      <c r="C34" s="349" t="s">
        <v>74</v>
      </c>
      <c r="D34" s="349">
        <f t="shared" si="0"/>
        <v>0</v>
      </c>
      <c r="E34" s="349">
        <f t="shared" si="1"/>
        <v>0</v>
      </c>
      <c r="F34" s="349">
        <f t="shared" si="2"/>
        <v>0</v>
      </c>
      <c r="G34" s="349">
        <f t="shared" si="3"/>
        <v>0</v>
      </c>
      <c r="H34" s="349">
        <f t="shared" si="4"/>
        <v>0</v>
      </c>
      <c r="I34" s="349">
        <f t="shared" si="5"/>
        <v>0</v>
      </c>
      <c r="J34" s="349">
        <f t="shared" si="6"/>
        <v>0</v>
      </c>
      <c r="K34" s="349">
        <f t="shared" si="7"/>
        <v>0</v>
      </c>
      <c r="L34" s="349">
        <f t="shared" si="8"/>
        <v>0</v>
      </c>
      <c r="M34" s="349">
        <f t="shared" si="9"/>
        <v>0</v>
      </c>
      <c r="N34" s="349">
        <f t="shared" si="10"/>
        <v>0</v>
      </c>
      <c r="O34" s="349">
        <f t="shared" si="11"/>
        <v>0</v>
      </c>
      <c r="P34" s="349">
        <f t="shared" si="12"/>
        <v>0</v>
      </c>
      <c r="Q34" s="349">
        <f t="shared" si="13"/>
        <v>0</v>
      </c>
      <c r="R34" s="349">
        <f t="shared" si="14"/>
        <v>0</v>
      </c>
      <c r="S34" s="349">
        <f t="shared" si="15"/>
        <v>0</v>
      </c>
      <c r="T34" s="349">
        <f t="shared" si="16"/>
        <v>0</v>
      </c>
      <c r="U34" s="349">
        <f t="shared" si="17"/>
        <v>0</v>
      </c>
      <c r="V34" s="349">
        <f t="shared" si="18"/>
        <v>0</v>
      </c>
      <c r="W34" s="349">
        <f t="shared" si="19"/>
        <v>0</v>
      </c>
      <c r="X34" s="349">
        <f t="shared" si="20"/>
        <v>0</v>
      </c>
      <c r="Y34" s="349">
        <f t="shared" si="21"/>
        <v>0</v>
      </c>
      <c r="Z34" s="349">
        <f t="shared" si="22"/>
        <v>0</v>
      </c>
      <c r="AA34" s="349">
        <f t="shared" si="23"/>
        <v>0</v>
      </c>
      <c r="AB34" s="349">
        <f t="shared" si="24"/>
        <v>0</v>
      </c>
      <c r="AC34" s="349">
        <f t="shared" si="25"/>
        <v>0</v>
      </c>
      <c r="AD34" s="349">
        <f t="shared" si="26"/>
        <v>0</v>
      </c>
      <c r="AE34" s="349">
        <f t="shared" si="27"/>
        <v>0</v>
      </c>
      <c r="AF34" s="349">
        <f t="shared" si="28"/>
        <v>0</v>
      </c>
      <c r="AG34" s="349">
        <f t="shared" si="29"/>
        <v>0</v>
      </c>
      <c r="AH34" s="349">
        <f t="shared" si="30"/>
        <v>0</v>
      </c>
    </row>
    <row r="35" spans="1:34" ht="11.25">
      <c r="A35" s="348">
        <v>240</v>
      </c>
      <c r="B35" s="348" t="s">
        <v>76</v>
      </c>
      <c r="C35" s="349" t="s">
        <v>77</v>
      </c>
      <c r="D35" s="349">
        <f t="shared" si="0"/>
        <v>0</v>
      </c>
      <c r="E35" s="349">
        <f t="shared" si="1"/>
        <v>0</v>
      </c>
      <c r="F35" s="349">
        <f t="shared" si="2"/>
        <v>0</v>
      </c>
      <c r="G35" s="349">
        <f t="shared" si="3"/>
        <v>0</v>
      </c>
      <c r="H35" s="349">
        <f t="shared" si="4"/>
        <v>0</v>
      </c>
      <c r="I35" s="349">
        <f t="shared" si="5"/>
        <v>0</v>
      </c>
      <c r="J35" s="349">
        <f t="shared" si="6"/>
        <v>0</v>
      </c>
      <c r="K35" s="349">
        <f t="shared" si="7"/>
        <v>0</v>
      </c>
      <c r="L35" s="349">
        <f t="shared" si="8"/>
        <v>0</v>
      </c>
      <c r="M35" s="349">
        <f t="shared" si="9"/>
        <v>0</v>
      </c>
      <c r="N35" s="349">
        <f t="shared" si="10"/>
        <v>0</v>
      </c>
      <c r="O35" s="349">
        <f t="shared" si="11"/>
        <v>0</v>
      </c>
      <c r="P35" s="349">
        <f t="shared" si="12"/>
        <v>0</v>
      </c>
      <c r="Q35" s="349">
        <f t="shared" si="13"/>
        <v>0</v>
      </c>
      <c r="R35" s="349">
        <f t="shared" si="14"/>
        <v>0</v>
      </c>
      <c r="S35" s="349">
        <f t="shared" si="15"/>
        <v>0</v>
      </c>
      <c r="T35" s="349">
        <f t="shared" si="16"/>
        <v>0</v>
      </c>
      <c r="U35" s="349">
        <f t="shared" si="17"/>
        <v>0</v>
      </c>
      <c r="V35" s="349">
        <f t="shared" si="18"/>
        <v>0</v>
      </c>
      <c r="W35" s="349">
        <f t="shared" si="19"/>
        <v>0</v>
      </c>
      <c r="X35" s="349">
        <f t="shared" si="20"/>
        <v>0</v>
      </c>
      <c r="Y35" s="349">
        <f t="shared" si="21"/>
        <v>0</v>
      </c>
      <c r="Z35" s="349">
        <f t="shared" si="22"/>
        <v>0</v>
      </c>
      <c r="AA35" s="349">
        <f t="shared" si="23"/>
        <v>0</v>
      </c>
      <c r="AB35" s="349">
        <f t="shared" si="24"/>
        <v>0</v>
      </c>
      <c r="AC35" s="349">
        <f t="shared" si="25"/>
        <v>0</v>
      </c>
      <c r="AD35" s="349">
        <f t="shared" si="26"/>
        <v>0</v>
      </c>
      <c r="AE35" s="349">
        <f t="shared" si="27"/>
        <v>0</v>
      </c>
      <c r="AF35" s="349">
        <f t="shared" si="28"/>
        <v>0</v>
      </c>
      <c r="AG35" s="349">
        <f t="shared" si="29"/>
        <v>0</v>
      </c>
      <c r="AH35" s="349">
        <f t="shared" si="30"/>
        <v>0</v>
      </c>
    </row>
    <row r="36" spans="1:34" ht="11.25">
      <c r="A36" s="348">
        <v>250</v>
      </c>
      <c r="B36" s="348" t="s">
        <v>79</v>
      </c>
      <c r="C36" s="349" t="s">
        <v>80</v>
      </c>
      <c r="D36" s="349">
        <f t="shared" si="0"/>
        <v>0</v>
      </c>
      <c r="E36" s="349">
        <f t="shared" si="1"/>
        <v>0</v>
      </c>
      <c r="F36" s="349">
        <f t="shared" si="2"/>
        <v>0</v>
      </c>
      <c r="G36" s="349">
        <f t="shared" si="3"/>
        <v>0</v>
      </c>
      <c r="H36" s="349">
        <f t="shared" si="4"/>
        <v>0</v>
      </c>
      <c r="I36" s="349">
        <f t="shared" si="5"/>
        <v>0</v>
      </c>
      <c r="J36" s="349">
        <f t="shared" si="6"/>
        <v>0</v>
      </c>
      <c r="K36" s="349">
        <f t="shared" si="7"/>
        <v>0</v>
      </c>
      <c r="L36" s="349">
        <f t="shared" si="8"/>
        <v>0</v>
      </c>
      <c r="M36" s="349">
        <f t="shared" si="9"/>
        <v>0</v>
      </c>
      <c r="N36" s="349">
        <f t="shared" si="10"/>
        <v>0</v>
      </c>
      <c r="O36" s="349">
        <f t="shared" si="11"/>
        <v>0</v>
      </c>
      <c r="P36" s="349">
        <f t="shared" si="12"/>
        <v>0</v>
      </c>
      <c r="Q36" s="349">
        <f t="shared" si="13"/>
        <v>0</v>
      </c>
      <c r="R36" s="349">
        <f t="shared" si="14"/>
        <v>0</v>
      </c>
      <c r="S36" s="349">
        <f t="shared" si="15"/>
        <v>0</v>
      </c>
      <c r="T36" s="349">
        <f t="shared" si="16"/>
        <v>0</v>
      </c>
      <c r="U36" s="349">
        <f t="shared" si="17"/>
        <v>0</v>
      </c>
      <c r="V36" s="349">
        <f t="shared" si="18"/>
        <v>0</v>
      </c>
      <c r="W36" s="349">
        <f t="shared" si="19"/>
        <v>0</v>
      </c>
      <c r="X36" s="349">
        <f t="shared" si="20"/>
        <v>0</v>
      </c>
      <c r="Y36" s="349">
        <f t="shared" si="21"/>
        <v>0</v>
      </c>
      <c r="Z36" s="349">
        <f t="shared" si="22"/>
        <v>0</v>
      </c>
      <c r="AA36" s="349">
        <f t="shared" si="23"/>
        <v>0</v>
      </c>
      <c r="AB36" s="349">
        <f t="shared" si="24"/>
        <v>0</v>
      </c>
      <c r="AC36" s="349">
        <f t="shared" si="25"/>
        <v>0</v>
      </c>
      <c r="AD36" s="349">
        <f t="shared" si="26"/>
        <v>0</v>
      </c>
      <c r="AE36" s="349">
        <f t="shared" si="27"/>
        <v>0</v>
      </c>
      <c r="AF36" s="349">
        <f t="shared" si="28"/>
        <v>0</v>
      </c>
      <c r="AG36" s="349">
        <f t="shared" si="29"/>
        <v>0</v>
      </c>
      <c r="AH36" s="349">
        <f t="shared" si="30"/>
        <v>0</v>
      </c>
    </row>
    <row r="37" spans="1:34" ht="11.25">
      <c r="A37" s="348">
        <v>260</v>
      </c>
      <c r="B37" s="348" t="s">
        <v>81</v>
      </c>
      <c r="C37" s="349" t="s">
        <v>82</v>
      </c>
      <c r="D37" s="349">
        <f t="shared" si="0"/>
        <v>0</v>
      </c>
      <c r="E37" s="349">
        <f t="shared" si="1"/>
        <v>0</v>
      </c>
      <c r="F37" s="349">
        <f t="shared" si="2"/>
        <v>0</v>
      </c>
      <c r="G37" s="349">
        <f t="shared" si="3"/>
        <v>0</v>
      </c>
      <c r="H37" s="349">
        <f t="shared" si="4"/>
        <v>0</v>
      </c>
      <c r="I37" s="349">
        <f t="shared" si="5"/>
        <v>0</v>
      </c>
      <c r="J37" s="349">
        <f t="shared" si="6"/>
        <v>0</v>
      </c>
      <c r="K37" s="349">
        <f t="shared" si="7"/>
        <v>0</v>
      </c>
      <c r="L37" s="349">
        <f t="shared" si="8"/>
        <v>0</v>
      </c>
      <c r="M37" s="349">
        <f t="shared" si="9"/>
        <v>0</v>
      </c>
      <c r="N37" s="349">
        <f t="shared" si="10"/>
        <v>0</v>
      </c>
      <c r="O37" s="349">
        <f t="shared" si="11"/>
        <v>0</v>
      </c>
      <c r="P37" s="349">
        <f t="shared" si="12"/>
        <v>0</v>
      </c>
      <c r="Q37" s="349">
        <f t="shared" si="13"/>
        <v>0</v>
      </c>
      <c r="R37" s="349">
        <f t="shared" si="14"/>
        <v>0</v>
      </c>
      <c r="S37" s="349">
        <f t="shared" si="15"/>
        <v>0</v>
      </c>
      <c r="T37" s="349">
        <f t="shared" si="16"/>
        <v>0</v>
      </c>
      <c r="U37" s="349">
        <f t="shared" si="17"/>
        <v>0</v>
      </c>
      <c r="V37" s="349">
        <f t="shared" si="18"/>
        <v>0</v>
      </c>
      <c r="W37" s="349">
        <f t="shared" si="19"/>
        <v>0</v>
      </c>
      <c r="X37" s="349">
        <f t="shared" si="20"/>
        <v>0</v>
      </c>
      <c r="Y37" s="349">
        <f t="shared" si="21"/>
        <v>0</v>
      </c>
      <c r="Z37" s="349">
        <f t="shared" si="22"/>
        <v>0</v>
      </c>
      <c r="AA37" s="349">
        <f t="shared" si="23"/>
        <v>0</v>
      </c>
      <c r="AB37" s="349">
        <f t="shared" si="24"/>
        <v>0</v>
      </c>
      <c r="AC37" s="349">
        <f t="shared" si="25"/>
        <v>0</v>
      </c>
      <c r="AD37" s="349">
        <f t="shared" si="26"/>
        <v>0</v>
      </c>
      <c r="AE37" s="349">
        <f t="shared" si="27"/>
        <v>0</v>
      </c>
      <c r="AF37" s="349">
        <f t="shared" si="28"/>
        <v>0</v>
      </c>
      <c r="AG37" s="349">
        <f t="shared" si="29"/>
        <v>0</v>
      </c>
      <c r="AH37" s="349">
        <f t="shared" si="30"/>
        <v>0</v>
      </c>
    </row>
    <row r="38" spans="1:34" ht="11.25">
      <c r="A38" s="348">
        <v>270</v>
      </c>
      <c r="B38" s="348" t="s">
        <v>84</v>
      </c>
      <c r="C38" s="349" t="s">
        <v>80</v>
      </c>
      <c r="D38" s="349">
        <f t="shared" si="0"/>
        <v>0</v>
      </c>
      <c r="E38" s="349">
        <f t="shared" si="1"/>
        <v>0</v>
      </c>
      <c r="F38" s="349">
        <f t="shared" si="2"/>
        <v>0</v>
      </c>
      <c r="G38" s="349">
        <f t="shared" si="3"/>
        <v>0</v>
      </c>
      <c r="H38" s="349">
        <f t="shared" si="4"/>
        <v>0</v>
      </c>
      <c r="I38" s="349">
        <f t="shared" si="5"/>
        <v>0</v>
      </c>
      <c r="J38" s="349">
        <f t="shared" si="6"/>
        <v>0</v>
      </c>
      <c r="K38" s="349">
        <f t="shared" si="7"/>
        <v>0</v>
      </c>
      <c r="L38" s="349">
        <f t="shared" si="8"/>
        <v>0</v>
      </c>
      <c r="M38" s="349">
        <f t="shared" si="9"/>
        <v>0</v>
      </c>
      <c r="N38" s="349">
        <f t="shared" si="10"/>
        <v>0</v>
      </c>
      <c r="O38" s="349">
        <f t="shared" si="11"/>
        <v>0</v>
      </c>
      <c r="P38" s="349">
        <f t="shared" si="12"/>
        <v>0</v>
      </c>
      <c r="Q38" s="349">
        <f t="shared" si="13"/>
        <v>0</v>
      </c>
      <c r="R38" s="349">
        <f t="shared" si="14"/>
        <v>0</v>
      </c>
      <c r="S38" s="349">
        <f t="shared" si="15"/>
        <v>0</v>
      </c>
      <c r="T38" s="349">
        <f t="shared" si="16"/>
        <v>0</v>
      </c>
      <c r="U38" s="349">
        <f t="shared" si="17"/>
        <v>0</v>
      </c>
      <c r="V38" s="349">
        <f t="shared" si="18"/>
        <v>0</v>
      </c>
      <c r="W38" s="349">
        <f t="shared" si="19"/>
        <v>0</v>
      </c>
      <c r="X38" s="349">
        <f t="shared" si="20"/>
        <v>0</v>
      </c>
      <c r="Y38" s="349">
        <f t="shared" si="21"/>
        <v>0</v>
      </c>
      <c r="Z38" s="349">
        <f t="shared" si="22"/>
        <v>0</v>
      </c>
      <c r="AA38" s="349">
        <f t="shared" si="23"/>
        <v>0</v>
      </c>
      <c r="AB38" s="349">
        <f t="shared" si="24"/>
        <v>0</v>
      </c>
      <c r="AC38" s="349">
        <f t="shared" si="25"/>
        <v>0</v>
      </c>
      <c r="AD38" s="349">
        <f t="shared" si="26"/>
        <v>0</v>
      </c>
      <c r="AE38" s="349">
        <f t="shared" si="27"/>
        <v>0</v>
      </c>
      <c r="AF38" s="349">
        <f t="shared" si="28"/>
        <v>0</v>
      </c>
      <c r="AG38" s="349">
        <f t="shared" si="29"/>
        <v>0</v>
      </c>
      <c r="AH38" s="349">
        <f t="shared" si="30"/>
        <v>0</v>
      </c>
    </row>
    <row r="39" spans="1:34" ht="11.25">
      <c r="A39" s="348">
        <v>280</v>
      </c>
      <c r="B39" s="348" t="s">
        <v>85</v>
      </c>
      <c r="C39" s="349" t="s">
        <v>86</v>
      </c>
      <c r="D39" s="349">
        <f t="shared" si="0"/>
        <v>0</v>
      </c>
      <c r="E39" s="349">
        <f t="shared" si="1"/>
        <v>0</v>
      </c>
      <c r="F39" s="349">
        <f t="shared" si="2"/>
        <v>0</v>
      </c>
      <c r="G39" s="349">
        <f t="shared" si="3"/>
        <v>0</v>
      </c>
      <c r="H39" s="349">
        <f t="shared" si="4"/>
        <v>0</v>
      </c>
      <c r="I39" s="349">
        <f t="shared" si="5"/>
        <v>0</v>
      </c>
      <c r="J39" s="349">
        <f t="shared" si="6"/>
        <v>0</v>
      </c>
      <c r="K39" s="349">
        <f t="shared" si="7"/>
        <v>0</v>
      </c>
      <c r="L39" s="349">
        <f t="shared" si="8"/>
        <v>0</v>
      </c>
      <c r="M39" s="349">
        <f t="shared" si="9"/>
        <v>0</v>
      </c>
      <c r="N39" s="349">
        <f t="shared" si="10"/>
        <v>0</v>
      </c>
      <c r="O39" s="349">
        <f t="shared" si="11"/>
        <v>0</v>
      </c>
      <c r="P39" s="349">
        <f t="shared" si="12"/>
        <v>0</v>
      </c>
      <c r="Q39" s="349">
        <f t="shared" si="13"/>
        <v>0</v>
      </c>
      <c r="R39" s="349">
        <f t="shared" si="14"/>
        <v>0</v>
      </c>
      <c r="S39" s="349">
        <f t="shared" si="15"/>
        <v>0</v>
      </c>
      <c r="T39" s="349">
        <f t="shared" si="16"/>
        <v>0</v>
      </c>
      <c r="U39" s="349">
        <f t="shared" si="17"/>
        <v>0</v>
      </c>
      <c r="V39" s="349">
        <f t="shared" si="18"/>
        <v>0</v>
      </c>
      <c r="W39" s="349">
        <f t="shared" si="19"/>
        <v>0</v>
      </c>
      <c r="X39" s="349">
        <f t="shared" si="20"/>
        <v>0</v>
      </c>
      <c r="Y39" s="349">
        <f t="shared" si="21"/>
        <v>0</v>
      </c>
      <c r="Z39" s="349">
        <f t="shared" si="22"/>
        <v>0</v>
      </c>
      <c r="AA39" s="349">
        <f t="shared" si="23"/>
        <v>0</v>
      </c>
      <c r="AB39" s="349">
        <f t="shared" si="24"/>
        <v>0</v>
      </c>
      <c r="AC39" s="349">
        <f t="shared" si="25"/>
        <v>0</v>
      </c>
      <c r="AD39" s="349">
        <f t="shared" si="26"/>
        <v>0</v>
      </c>
      <c r="AE39" s="349">
        <f t="shared" si="27"/>
        <v>0</v>
      </c>
      <c r="AF39" s="349">
        <f t="shared" si="28"/>
        <v>0</v>
      </c>
      <c r="AG39" s="349">
        <f t="shared" si="29"/>
        <v>0</v>
      </c>
      <c r="AH39" s="349">
        <f t="shared" si="30"/>
        <v>0</v>
      </c>
    </row>
    <row r="40" spans="1:34" ht="11.25">
      <c r="A40" s="348">
        <v>290</v>
      </c>
      <c r="B40" s="348" t="s">
        <v>87</v>
      </c>
      <c r="C40" s="349" t="s">
        <v>80</v>
      </c>
      <c r="D40" s="349">
        <f t="shared" si="0"/>
        <v>0</v>
      </c>
      <c r="E40" s="349">
        <f t="shared" si="1"/>
        <v>0</v>
      </c>
      <c r="F40" s="349">
        <f t="shared" si="2"/>
        <v>0</v>
      </c>
      <c r="G40" s="349">
        <f t="shared" si="3"/>
        <v>0</v>
      </c>
      <c r="H40" s="349">
        <f t="shared" si="4"/>
        <v>0</v>
      </c>
      <c r="I40" s="349">
        <f t="shared" si="5"/>
        <v>0</v>
      </c>
      <c r="J40" s="349">
        <f t="shared" si="6"/>
        <v>0</v>
      </c>
      <c r="K40" s="349">
        <f t="shared" si="7"/>
        <v>0</v>
      </c>
      <c r="L40" s="349">
        <f t="shared" si="8"/>
        <v>0</v>
      </c>
      <c r="M40" s="349">
        <f t="shared" si="9"/>
        <v>0</v>
      </c>
      <c r="N40" s="349">
        <f t="shared" si="10"/>
        <v>0</v>
      </c>
      <c r="O40" s="349">
        <f t="shared" si="11"/>
        <v>0</v>
      </c>
      <c r="P40" s="349">
        <f t="shared" si="12"/>
        <v>0</v>
      </c>
      <c r="Q40" s="349">
        <f t="shared" si="13"/>
        <v>0</v>
      </c>
      <c r="R40" s="349">
        <f t="shared" si="14"/>
        <v>0</v>
      </c>
      <c r="S40" s="349">
        <f t="shared" si="15"/>
        <v>0</v>
      </c>
      <c r="T40" s="349">
        <f t="shared" si="16"/>
        <v>0</v>
      </c>
      <c r="U40" s="349">
        <f t="shared" si="17"/>
        <v>0</v>
      </c>
      <c r="V40" s="349">
        <f t="shared" si="18"/>
        <v>0</v>
      </c>
      <c r="W40" s="349">
        <f t="shared" si="19"/>
        <v>0</v>
      </c>
      <c r="X40" s="349">
        <f t="shared" si="20"/>
        <v>0</v>
      </c>
      <c r="Y40" s="349">
        <f t="shared" si="21"/>
        <v>0</v>
      </c>
      <c r="Z40" s="349">
        <f t="shared" si="22"/>
        <v>0</v>
      </c>
      <c r="AA40" s="349">
        <f t="shared" si="23"/>
        <v>0</v>
      </c>
      <c r="AB40" s="349">
        <f t="shared" si="24"/>
        <v>0</v>
      </c>
      <c r="AC40" s="349">
        <f t="shared" si="25"/>
        <v>0</v>
      </c>
      <c r="AD40" s="349">
        <f t="shared" si="26"/>
        <v>0</v>
      </c>
      <c r="AE40" s="349">
        <f t="shared" si="27"/>
        <v>0</v>
      </c>
      <c r="AF40" s="349">
        <f t="shared" si="28"/>
        <v>0</v>
      </c>
      <c r="AG40" s="349">
        <f t="shared" si="29"/>
        <v>0</v>
      </c>
      <c r="AH40" s="349">
        <f t="shared" si="30"/>
        <v>0</v>
      </c>
    </row>
    <row r="41" spans="1:34" ht="11.25">
      <c r="A41" s="348">
        <v>300</v>
      </c>
      <c r="B41" s="348">
        <v>5</v>
      </c>
      <c r="C41" s="349" t="s">
        <v>88</v>
      </c>
      <c r="D41" s="349">
        <f t="shared" si="0"/>
        <v>0</v>
      </c>
      <c r="E41" s="349">
        <f t="shared" si="1"/>
        <v>0</v>
      </c>
      <c r="F41" s="349">
        <f t="shared" si="2"/>
        <v>0</v>
      </c>
      <c r="G41" s="349">
        <f t="shared" si="3"/>
        <v>0</v>
      </c>
      <c r="H41" s="349">
        <f t="shared" si="4"/>
        <v>0</v>
      </c>
      <c r="I41" s="349">
        <f t="shared" si="5"/>
        <v>0</v>
      </c>
      <c r="J41" s="349">
        <f t="shared" si="6"/>
        <v>0</v>
      </c>
      <c r="K41" s="349">
        <f t="shared" si="7"/>
        <v>0</v>
      </c>
      <c r="L41" s="349">
        <f t="shared" si="8"/>
        <v>0</v>
      </c>
      <c r="M41" s="349">
        <f t="shared" si="9"/>
        <v>0</v>
      </c>
      <c r="N41" s="349">
        <f t="shared" si="10"/>
        <v>0</v>
      </c>
      <c r="O41" s="349">
        <f t="shared" si="11"/>
        <v>0</v>
      </c>
      <c r="P41" s="349">
        <f t="shared" si="12"/>
        <v>0</v>
      </c>
      <c r="Q41" s="349">
        <f t="shared" si="13"/>
        <v>0</v>
      </c>
      <c r="R41" s="349">
        <f t="shared" si="14"/>
        <v>0</v>
      </c>
      <c r="S41" s="349">
        <f t="shared" si="15"/>
        <v>0</v>
      </c>
      <c r="T41" s="349">
        <f t="shared" si="16"/>
        <v>0</v>
      </c>
      <c r="U41" s="349">
        <f t="shared" si="17"/>
        <v>0</v>
      </c>
      <c r="V41" s="349">
        <f t="shared" si="18"/>
        <v>0</v>
      </c>
      <c r="W41" s="349">
        <f t="shared" si="19"/>
        <v>0</v>
      </c>
      <c r="X41" s="349">
        <f t="shared" si="20"/>
        <v>0</v>
      </c>
      <c r="Y41" s="349">
        <f t="shared" si="21"/>
        <v>0</v>
      </c>
      <c r="Z41" s="349">
        <f t="shared" si="22"/>
        <v>0</v>
      </c>
      <c r="AA41" s="349">
        <f t="shared" si="23"/>
        <v>0</v>
      </c>
      <c r="AB41" s="349">
        <f t="shared" si="24"/>
        <v>0</v>
      </c>
      <c r="AC41" s="349">
        <f t="shared" si="25"/>
        <v>0</v>
      </c>
      <c r="AD41" s="349">
        <f t="shared" si="26"/>
        <v>0</v>
      </c>
      <c r="AE41" s="349">
        <f t="shared" si="27"/>
        <v>0</v>
      </c>
      <c r="AF41" s="349">
        <f t="shared" si="28"/>
        <v>0</v>
      </c>
      <c r="AG41" s="349">
        <f t="shared" si="29"/>
        <v>0</v>
      </c>
      <c r="AH41" s="349">
        <f t="shared" si="30"/>
        <v>0</v>
      </c>
    </row>
    <row r="42" spans="1:34" ht="11.25">
      <c r="A42" s="348">
        <v>310</v>
      </c>
      <c r="B42" s="348" t="s">
        <v>89</v>
      </c>
      <c r="C42" s="349" t="s">
        <v>90</v>
      </c>
      <c r="D42" s="349">
        <f t="shared" si="0"/>
        <v>0</v>
      </c>
      <c r="E42" s="349">
        <f t="shared" si="1"/>
        <v>0</v>
      </c>
      <c r="F42" s="349">
        <f t="shared" si="2"/>
        <v>0</v>
      </c>
      <c r="G42" s="349">
        <f t="shared" si="3"/>
        <v>0</v>
      </c>
      <c r="H42" s="349">
        <f t="shared" si="4"/>
        <v>0</v>
      </c>
      <c r="I42" s="349">
        <f t="shared" si="5"/>
        <v>0</v>
      </c>
      <c r="J42" s="349">
        <f t="shared" si="6"/>
        <v>0</v>
      </c>
      <c r="K42" s="349">
        <f t="shared" si="7"/>
        <v>0</v>
      </c>
      <c r="L42" s="349">
        <f t="shared" si="8"/>
        <v>0</v>
      </c>
      <c r="M42" s="349">
        <f t="shared" si="9"/>
        <v>0</v>
      </c>
      <c r="N42" s="349">
        <f t="shared" si="10"/>
        <v>0</v>
      </c>
      <c r="O42" s="349">
        <f t="shared" si="11"/>
        <v>0</v>
      </c>
      <c r="P42" s="349">
        <f t="shared" si="12"/>
        <v>0</v>
      </c>
      <c r="Q42" s="349">
        <f t="shared" si="13"/>
        <v>0</v>
      </c>
      <c r="R42" s="349">
        <f t="shared" si="14"/>
        <v>0</v>
      </c>
      <c r="S42" s="349">
        <f t="shared" si="15"/>
        <v>0</v>
      </c>
      <c r="T42" s="349">
        <f t="shared" si="16"/>
        <v>0</v>
      </c>
      <c r="U42" s="349">
        <f t="shared" si="17"/>
        <v>0</v>
      </c>
      <c r="V42" s="349">
        <f t="shared" si="18"/>
        <v>0</v>
      </c>
      <c r="W42" s="349">
        <f t="shared" si="19"/>
        <v>0</v>
      </c>
      <c r="X42" s="349">
        <f t="shared" si="20"/>
        <v>0</v>
      </c>
      <c r="Y42" s="349">
        <f t="shared" si="21"/>
        <v>0</v>
      </c>
      <c r="Z42" s="349">
        <f t="shared" si="22"/>
        <v>0</v>
      </c>
      <c r="AA42" s="349">
        <f t="shared" si="23"/>
        <v>0</v>
      </c>
      <c r="AB42" s="349">
        <f t="shared" si="24"/>
        <v>0</v>
      </c>
      <c r="AC42" s="349">
        <f t="shared" si="25"/>
        <v>0</v>
      </c>
      <c r="AD42" s="349">
        <f t="shared" si="26"/>
        <v>0</v>
      </c>
      <c r="AE42" s="349">
        <f t="shared" si="27"/>
        <v>0</v>
      </c>
      <c r="AF42" s="349">
        <f t="shared" si="28"/>
        <v>0</v>
      </c>
      <c r="AG42" s="349">
        <f t="shared" si="29"/>
        <v>0</v>
      </c>
      <c r="AH42" s="349">
        <f t="shared" si="30"/>
        <v>0</v>
      </c>
    </row>
    <row r="43" spans="1:34" ht="11.25">
      <c r="A43" s="348">
        <v>320</v>
      </c>
      <c r="B43" s="348" t="s">
        <v>92</v>
      </c>
      <c r="C43" s="349" t="s">
        <v>93</v>
      </c>
      <c r="D43" s="349">
        <f t="shared" si="0"/>
        <v>0</v>
      </c>
      <c r="E43" s="349">
        <f t="shared" si="1"/>
        <v>0</v>
      </c>
      <c r="F43" s="349">
        <f t="shared" si="2"/>
        <v>0</v>
      </c>
      <c r="G43" s="349">
        <f t="shared" si="3"/>
        <v>0</v>
      </c>
      <c r="H43" s="349">
        <f t="shared" si="4"/>
        <v>0</v>
      </c>
      <c r="I43" s="349">
        <f t="shared" si="5"/>
        <v>0</v>
      </c>
      <c r="J43" s="349">
        <f t="shared" si="6"/>
        <v>0</v>
      </c>
      <c r="K43" s="349">
        <f t="shared" si="7"/>
        <v>0</v>
      </c>
      <c r="L43" s="349">
        <f t="shared" si="8"/>
        <v>0</v>
      </c>
      <c r="M43" s="349">
        <f t="shared" si="9"/>
        <v>0</v>
      </c>
      <c r="N43" s="349">
        <f t="shared" si="10"/>
        <v>0</v>
      </c>
      <c r="O43" s="349">
        <f t="shared" si="11"/>
        <v>0</v>
      </c>
      <c r="P43" s="349">
        <f t="shared" si="12"/>
        <v>0</v>
      </c>
      <c r="Q43" s="349">
        <f t="shared" si="13"/>
        <v>0</v>
      </c>
      <c r="R43" s="349">
        <f t="shared" si="14"/>
        <v>0</v>
      </c>
      <c r="S43" s="349">
        <f t="shared" si="15"/>
        <v>0</v>
      </c>
      <c r="T43" s="349">
        <f t="shared" si="16"/>
        <v>0</v>
      </c>
      <c r="U43" s="349">
        <f t="shared" si="17"/>
        <v>0</v>
      </c>
      <c r="V43" s="349">
        <f t="shared" si="18"/>
        <v>0</v>
      </c>
      <c r="W43" s="349">
        <f t="shared" si="19"/>
        <v>0</v>
      </c>
      <c r="X43" s="349">
        <f t="shared" si="20"/>
        <v>0</v>
      </c>
      <c r="Y43" s="349">
        <f t="shared" si="21"/>
        <v>0</v>
      </c>
      <c r="Z43" s="349">
        <f t="shared" si="22"/>
        <v>0</v>
      </c>
      <c r="AA43" s="349">
        <f t="shared" si="23"/>
        <v>0</v>
      </c>
      <c r="AB43" s="349">
        <f t="shared" si="24"/>
        <v>0</v>
      </c>
      <c r="AC43" s="349">
        <f t="shared" si="25"/>
        <v>0</v>
      </c>
      <c r="AD43" s="349">
        <f t="shared" si="26"/>
        <v>0</v>
      </c>
      <c r="AE43" s="349">
        <f t="shared" si="27"/>
        <v>0</v>
      </c>
      <c r="AF43" s="349">
        <f t="shared" si="28"/>
        <v>0</v>
      </c>
      <c r="AG43" s="349">
        <f t="shared" si="29"/>
        <v>0</v>
      </c>
      <c r="AH43" s="349">
        <f t="shared" si="30"/>
        <v>0</v>
      </c>
    </row>
    <row r="44" spans="1:34" ht="11.25">
      <c r="A44" s="348">
        <v>332</v>
      </c>
      <c r="B44" s="348" t="s">
        <v>95</v>
      </c>
      <c r="C44" s="349" t="s">
        <v>96</v>
      </c>
      <c r="D44" s="349">
        <f t="shared" si="0"/>
        <v>0</v>
      </c>
      <c r="E44" s="349">
        <f t="shared" si="1"/>
        <v>0</v>
      </c>
      <c r="F44" s="349">
        <f t="shared" si="2"/>
        <v>0</v>
      </c>
      <c r="G44" s="349">
        <f t="shared" si="3"/>
        <v>0</v>
      </c>
      <c r="H44" s="349">
        <f t="shared" si="4"/>
        <v>0</v>
      </c>
      <c r="I44" s="349">
        <f t="shared" si="5"/>
        <v>0</v>
      </c>
      <c r="J44" s="349">
        <f t="shared" si="6"/>
        <v>0</v>
      </c>
      <c r="K44" s="349">
        <f t="shared" si="7"/>
        <v>0</v>
      </c>
      <c r="L44" s="349">
        <f t="shared" si="8"/>
        <v>0</v>
      </c>
      <c r="M44" s="349">
        <f t="shared" si="9"/>
        <v>0</v>
      </c>
      <c r="N44" s="349">
        <f t="shared" si="10"/>
        <v>0</v>
      </c>
      <c r="O44" s="349">
        <f t="shared" si="11"/>
        <v>0</v>
      </c>
      <c r="P44" s="349">
        <f t="shared" si="12"/>
        <v>0</v>
      </c>
      <c r="Q44" s="349">
        <f t="shared" si="13"/>
        <v>0</v>
      </c>
      <c r="R44" s="349">
        <f t="shared" si="14"/>
        <v>0</v>
      </c>
      <c r="S44" s="349">
        <f t="shared" si="15"/>
        <v>0</v>
      </c>
      <c r="T44" s="349">
        <f t="shared" si="16"/>
        <v>0</v>
      </c>
      <c r="U44" s="349">
        <f t="shared" si="17"/>
        <v>0</v>
      </c>
      <c r="V44" s="349">
        <f t="shared" si="18"/>
        <v>0</v>
      </c>
      <c r="W44" s="349">
        <f t="shared" si="19"/>
        <v>0</v>
      </c>
      <c r="X44" s="349">
        <f t="shared" si="20"/>
        <v>0</v>
      </c>
      <c r="Y44" s="349">
        <f t="shared" si="21"/>
        <v>0</v>
      </c>
      <c r="Z44" s="349">
        <f t="shared" si="22"/>
        <v>0</v>
      </c>
      <c r="AA44" s="349">
        <f t="shared" si="23"/>
        <v>0</v>
      </c>
      <c r="AB44" s="349">
        <f t="shared" si="24"/>
        <v>0</v>
      </c>
      <c r="AC44" s="349">
        <f t="shared" si="25"/>
        <v>0</v>
      </c>
      <c r="AD44" s="349">
        <f t="shared" si="26"/>
        <v>0</v>
      </c>
      <c r="AE44" s="349">
        <f t="shared" si="27"/>
        <v>0</v>
      </c>
      <c r="AF44" s="349">
        <f t="shared" si="28"/>
        <v>0</v>
      </c>
      <c r="AG44" s="349">
        <f t="shared" si="29"/>
        <v>0</v>
      </c>
      <c r="AH44" s="349">
        <f t="shared" si="30"/>
        <v>0</v>
      </c>
    </row>
    <row r="45" spans="1:34" ht="11.25">
      <c r="A45" s="348">
        <v>334</v>
      </c>
      <c r="B45" s="348" t="s">
        <v>98</v>
      </c>
      <c r="C45" s="349" t="s">
        <v>99</v>
      </c>
      <c r="D45" s="349">
        <f t="shared" si="0"/>
        <v>0</v>
      </c>
      <c r="E45" s="349">
        <f t="shared" si="1"/>
        <v>0</v>
      </c>
      <c r="F45" s="349">
        <f t="shared" si="2"/>
        <v>0</v>
      </c>
      <c r="G45" s="349">
        <f t="shared" si="3"/>
        <v>0</v>
      </c>
      <c r="H45" s="349">
        <f t="shared" si="4"/>
        <v>0</v>
      </c>
      <c r="I45" s="349">
        <f t="shared" si="5"/>
        <v>0</v>
      </c>
      <c r="J45" s="349">
        <f t="shared" si="6"/>
        <v>0</v>
      </c>
      <c r="K45" s="349">
        <f t="shared" si="7"/>
        <v>0</v>
      </c>
      <c r="L45" s="349">
        <f t="shared" si="8"/>
        <v>0</v>
      </c>
      <c r="M45" s="349">
        <f t="shared" si="9"/>
        <v>0</v>
      </c>
      <c r="N45" s="349">
        <f t="shared" si="10"/>
        <v>0</v>
      </c>
      <c r="O45" s="349">
        <f t="shared" si="11"/>
        <v>0</v>
      </c>
      <c r="P45" s="349">
        <f t="shared" si="12"/>
        <v>0</v>
      </c>
      <c r="Q45" s="349">
        <f t="shared" si="13"/>
        <v>0</v>
      </c>
      <c r="R45" s="349">
        <f t="shared" si="14"/>
        <v>0</v>
      </c>
      <c r="S45" s="349">
        <f t="shared" si="15"/>
        <v>0</v>
      </c>
      <c r="T45" s="349">
        <f t="shared" si="16"/>
        <v>0</v>
      </c>
      <c r="U45" s="349">
        <f t="shared" si="17"/>
        <v>0</v>
      </c>
      <c r="V45" s="349">
        <f t="shared" si="18"/>
        <v>0</v>
      </c>
      <c r="W45" s="349">
        <f t="shared" si="19"/>
        <v>0</v>
      </c>
      <c r="X45" s="349">
        <f t="shared" si="20"/>
        <v>0</v>
      </c>
      <c r="Y45" s="349">
        <f t="shared" si="21"/>
        <v>0</v>
      </c>
      <c r="Z45" s="349">
        <f t="shared" si="22"/>
        <v>0</v>
      </c>
      <c r="AA45" s="349">
        <f t="shared" si="23"/>
        <v>0</v>
      </c>
      <c r="AB45" s="349">
        <f t="shared" si="24"/>
        <v>0</v>
      </c>
      <c r="AC45" s="349">
        <f t="shared" si="25"/>
        <v>0</v>
      </c>
      <c r="AD45" s="349">
        <f t="shared" si="26"/>
        <v>0</v>
      </c>
      <c r="AE45" s="349">
        <f t="shared" si="27"/>
        <v>0</v>
      </c>
      <c r="AF45" s="349">
        <f t="shared" si="28"/>
        <v>0</v>
      </c>
      <c r="AG45" s="349">
        <f t="shared" si="29"/>
        <v>0</v>
      </c>
      <c r="AH45" s="349">
        <f t="shared" si="30"/>
        <v>0</v>
      </c>
    </row>
    <row r="46" spans="1:34" ht="11.25">
      <c r="A46" s="348">
        <v>336</v>
      </c>
      <c r="B46" s="348" t="s">
        <v>101</v>
      </c>
      <c r="C46" s="349" t="s">
        <v>102</v>
      </c>
      <c r="D46" s="349">
        <f t="shared" si="0"/>
        <v>0</v>
      </c>
      <c r="E46" s="349">
        <f t="shared" si="1"/>
        <v>0</v>
      </c>
      <c r="F46" s="349">
        <f t="shared" si="2"/>
        <v>0</v>
      </c>
      <c r="G46" s="349">
        <f t="shared" si="3"/>
        <v>0</v>
      </c>
      <c r="H46" s="349">
        <f t="shared" si="4"/>
        <v>0</v>
      </c>
      <c r="I46" s="349">
        <f t="shared" si="5"/>
        <v>0</v>
      </c>
      <c r="J46" s="349">
        <f t="shared" si="6"/>
        <v>0</v>
      </c>
      <c r="K46" s="349">
        <f t="shared" si="7"/>
        <v>0</v>
      </c>
      <c r="L46" s="349">
        <f t="shared" si="8"/>
        <v>0</v>
      </c>
      <c r="M46" s="349">
        <f t="shared" si="9"/>
        <v>0</v>
      </c>
      <c r="N46" s="349">
        <f t="shared" si="10"/>
        <v>0</v>
      </c>
      <c r="O46" s="349">
        <f t="shared" si="11"/>
        <v>0</v>
      </c>
      <c r="P46" s="349">
        <f t="shared" si="12"/>
        <v>0</v>
      </c>
      <c r="Q46" s="349">
        <f t="shared" si="13"/>
        <v>0</v>
      </c>
      <c r="R46" s="349">
        <f t="shared" si="14"/>
        <v>0</v>
      </c>
      <c r="S46" s="349">
        <f t="shared" si="15"/>
        <v>0</v>
      </c>
      <c r="T46" s="349">
        <f t="shared" si="16"/>
        <v>0</v>
      </c>
      <c r="U46" s="349">
        <f t="shared" si="17"/>
        <v>0</v>
      </c>
      <c r="V46" s="349">
        <f t="shared" si="18"/>
        <v>0</v>
      </c>
      <c r="W46" s="349">
        <f t="shared" si="19"/>
        <v>0</v>
      </c>
      <c r="X46" s="349">
        <f t="shared" si="20"/>
        <v>0</v>
      </c>
      <c r="Y46" s="349">
        <f t="shared" si="21"/>
        <v>0</v>
      </c>
      <c r="Z46" s="349">
        <f t="shared" si="22"/>
        <v>0</v>
      </c>
      <c r="AA46" s="349">
        <f t="shared" si="23"/>
        <v>0</v>
      </c>
      <c r="AB46" s="349">
        <f t="shared" si="24"/>
        <v>0</v>
      </c>
      <c r="AC46" s="349">
        <f t="shared" si="25"/>
        <v>0</v>
      </c>
      <c r="AD46" s="349">
        <f t="shared" si="26"/>
        <v>0</v>
      </c>
      <c r="AE46" s="349">
        <f t="shared" si="27"/>
        <v>0</v>
      </c>
      <c r="AF46" s="349">
        <f t="shared" si="28"/>
        <v>0</v>
      </c>
      <c r="AG46" s="349">
        <f t="shared" si="29"/>
        <v>0</v>
      </c>
      <c r="AH46" s="349">
        <f t="shared" si="30"/>
        <v>0</v>
      </c>
    </row>
    <row r="47" spans="1:34" ht="11.25">
      <c r="A47" s="348">
        <v>340</v>
      </c>
      <c r="B47" s="348" t="s">
        <v>104</v>
      </c>
      <c r="C47" s="349" t="s">
        <v>105</v>
      </c>
      <c r="D47" s="349">
        <f t="shared" si="0"/>
        <v>0</v>
      </c>
      <c r="E47" s="349">
        <f t="shared" si="1"/>
        <v>0</v>
      </c>
      <c r="F47" s="349">
        <f t="shared" si="2"/>
        <v>0</v>
      </c>
      <c r="G47" s="349">
        <f t="shared" si="3"/>
        <v>0</v>
      </c>
      <c r="H47" s="349">
        <f t="shared" si="4"/>
        <v>0</v>
      </c>
      <c r="I47" s="349">
        <f t="shared" si="5"/>
        <v>0</v>
      </c>
      <c r="J47" s="349">
        <f t="shared" si="6"/>
        <v>0</v>
      </c>
      <c r="K47" s="349">
        <f t="shared" si="7"/>
        <v>0</v>
      </c>
      <c r="L47" s="349">
        <f t="shared" si="8"/>
        <v>0</v>
      </c>
      <c r="M47" s="349">
        <f t="shared" si="9"/>
        <v>0</v>
      </c>
      <c r="N47" s="349">
        <f t="shared" si="10"/>
        <v>0</v>
      </c>
      <c r="O47" s="349">
        <f t="shared" si="11"/>
        <v>0</v>
      </c>
      <c r="P47" s="349">
        <f t="shared" si="12"/>
        <v>0</v>
      </c>
      <c r="Q47" s="349">
        <f t="shared" si="13"/>
        <v>0</v>
      </c>
      <c r="R47" s="349">
        <f t="shared" si="14"/>
        <v>0</v>
      </c>
      <c r="S47" s="349">
        <f t="shared" si="15"/>
        <v>0</v>
      </c>
      <c r="T47" s="349">
        <f t="shared" si="16"/>
        <v>0</v>
      </c>
      <c r="U47" s="349">
        <f t="shared" si="17"/>
        <v>0</v>
      </c>
      <c r="V47" s="349">
        <f t="shared" si="18"/>
        <v>0</v>
      </c>
      <c r="W47" s="349">
        <f t="shared" si="19"/>
        <v>0</v>
      </c>
      <c r="X47" s="349">
        <f t="shared" si="20"/>
        <v>0</v>
      </c>
      <c r="Y47" s="349">
        <f t="shared" si="21"/>
        <v>0</v>
      </c>
      <c r="Z47" s="349">
        <f t="shared" si="22"/>
        <v>0</v>
      </c>
      <c r="AA47" s="349">
        <f t="shared" si="23"/>
        <v>0</v>
      </c>
      <c r="AB47" s="349">
        <f t="shared" si="24"/>
        <v>0</v>
      </c>
      <c r="AC47" s="349">
        <f t="shared" si="25"/>
        <v>0</v>
      </c>
      <c r="AD47" s="349">
        <f t="shared" si="26"/>
        <v>0</v>
      </c>
      <c r="AE47" s="349">
        <f t="shared" si="27"/>
        <v>0</v>
      </c>
      <c r="AF47" s="349">
        <f t="shared" si="28"/>
        <v>0</v>
      </c>
      <c r="AG47" s="349">
        <f t="shared" si="29"/>
        <v>0</v>
      </c>
      <c r="AH47" s="349">
        <f t="shared" si="30"/>
        <v>0</v>
      </c>
    </row>
    <row r="48" spans="1:34" ht="11.25">
      <c r="A48" s="348">
        <v>350</v>
      </c>
      <c r="B48" s="348">
        <v>6</v>
      </c>
      <c r="C48" s="349" t="s">
        <v>106</v>
      </c>
      <c r="D48" s="349">
        <f t="shared" si="0"/>
        <v>0</v>
      </c>
      <c r="E48" s="349">
        <f t="shared" si="1"/>
        <v>0</v>
      </c>
      <c r="F48" s="349">
        <f t="shared" si="2"/>
        <v>0</v>
      </c>
      <c r="G48" s="349">
        <f t="shared" si="3"/>
        <v>0</v>
      </c>
      <c r="H48" s="349">
        <f t="shared" si="4"/>
        <v>0</v>
      </c>
      <c r="I48" s="349">
        <f t="shared" si="5"/>
        <v>0</v>
      </c>
      <c r="J48" s="349">
        <f t="shared" si="6"/>
        <v>0</v>
      </c>
      <c r="K48" s="349">
        <f t="shared" si="7"/>
        <v>0</v>
      </c>
      <c r="L48" s="349">
        <f t="shared" si="8"/>
        <v>0</v>
      </c>
      <c r="M48" s="349">
        <f t="shared" si="9"/>
        <v>0</v>
      </c>
      <c r="N48" s="349">
        <f t="shared" si="10"/>
        <v>0</v>
      </c>
      <c r="O48" s="349">
        <f t="shared" si="11"/>
        <v>0</v>
      </c>
      <c r="P48" s="349">
        <f t="shared" si="12"/>
        <v>0</v>
      </c>
      <c r="Q48" s="349">
        <f t="shared" si="13"/>
        <v>0</v>
      </c>
      <c r="R48" s="349">
        <f t="shared" si="14"/>
        <v>0</v>
      </c>
      <c r="S48" s="349">
        <f t="shared" si="15"/>
        <v>0</v>
      </c>
      <c r="T48" s="349">
        <f t="shared" si="16"/>
        <v>0</v>
      </c>
      <c r="U48" s="349">
        <f t="shared" si="17"/>
        <v>0</v>
      </c>
      <c r="V48" s="349">
        <f t="shared" si="18"/>
        <v>0</v>
      </c>
      <c r="W48" s="349">
        <f t="shared" si="19"/>
        <v>0</v>
      </c>
      <c r="X48" s="349">
        <f t="shared" si="20"/>
        <v>0</v>
      </c>
      <c r="Y48" s="349">
        <f t="shared" si="21"/>
        <v>0</v>
      </c>
      <c r="Z48" s="349">
        <f t="shared" si="22"/>
        <v>0</v>
      </c>
      <c r="AA48" s="349">
        <f t="shared" si="23"/>
        <v>0</v>
      </c>
      <c r="AB48" s="349">
        <f t="shared" si="24"/>
        <v>0</v>
      </c>
      <c r="AC48" s="349">
        <f t="shared" si="25"/>
        <v>0</v>
      </c>
      <c r="AD48" s="349">
        <f t="shared" si="26"/>
        <v>0</v>
      </c>
      <c r="AE48" s="349">
        <f t="shared" si="27"/>
        <v>0</v>
      </c>
      <c r="AF48" s="349">
        <f t="shared" si="28"/>
        <v>0</v>
      </c>
      <c r="AG48" s="349">
        <f t="shared" si="29"/>
        <v>0</v>
      </c>
      <c r="AH48" s="349">
        <f t="shared" si="30"/>
        <v>0</v>
      </c>
    </row>
    <row r="49" spans="1:34" ht="11.25">
      <c r="A49" s="348">
        <v>400</v>
      </c>
      <c r="B49" s="348">
        <v>7</v>
      </c>
      <c r="C49" s="349" t="s">
        <v>107</v>
      </c>
      <c r="D49" s="349">
        <f t="shared" si="0"/>
        <v>0</v>
      </c>
      <c r="E49" s="349">
        <f t="shared" si="1"/>
        <v>0</v>
      </c>
      <c r="F49" s="349">
        <f t="shared" si="2"/>
        <v>0</v>
      </c>
      <c r="G49" s="349">
        <f t="shared" si="3"/>
        <v>0</v>
      </c>
      <c r="H49" s="349">
        <f t="shared" si="4"/>
        <v>0</v>
      </c>
      <c r="I49" s="349">
        <f t="shared" si="5"/>
        <v>0</v>
      </c>
      <c r="J49" s="349">
        <f t="shared" si="6"/>
        <v>0</v>
      </c>
      <c r="K49" s="349">
        <f t="shared" si="7"/>
        <v>0</v>
      </c>
      <c r="L49" s="349">
        <f t="shared" si="8"/>
        <v>0</v>
      </c>
      <c r="M49" s="349">
        <f t="shared" si="9"/>
        <v>0</v>
      </c>
      <c r="N49" s="349">
        <f t="shared" si="10"/>
        <v>0</v>
      </c>
      <c r="O49" s="349">
        <f t="shared" si="11"/>
        <v>0</v>
      </c>
      <c r="P49" s="349">
        <f t="shared" si="12"/>
        <v>0</v>
      </c>
      <c r="Q49" s="349">
        <f t="shared" si="13"/>
        <v>0</v>
      </c>
      <c r="R49" s="349">
        <f t="shared" si="14"/>
        <v>0</v>
      </c>
      <c r="S49" s="349">
        <f t="shared" si="15"/>
        <v>0</v>
      </c>
      <c r="T49" s="349">
        <f t="shared" si="16"/>
        <v>0</v>
      </c>
      <c r="U49" s="349">
        <f t="shared" si="17"/>
        <v>0</v>
      </c>
      <c r="V49" s="349">
        <f t="shared" si="18"/>
        <v>0</v>
      </c>
      <c r="W49" s="349">
        <f t="shared" si="19"/>
        <v>0</v>
      </c>
      <c r="X49" s="349">
        <f t="shared" si="20"/>
        <v>0</v>
      </c>
      <c r="Y49" s="349">
        <f t="shared" si="21"/>
        <v>0</v>
      </c>
      <c r="Z49" s="349">
        <f t="shared" si="22"/>
        <v>0</v>
      </c>
      <c r="AA49" s="349">
        <f t="shared" si="23"/>
        <v>0</v>
      </c>
      <c r="AB49" s="349">
        <f t="shared" si="24"/>
        <v>0</v>
      </c>
      <c r="AC49" s="349">
        <f t="shared" si="25"/>
        <v>0</v>
      </c>
      <c r="AD49" s="349">
        <f t="shared" si="26"/>
        <v>0</v>
      </c>
      <c r="AE49" s="349">
        <f t="shared" si="27"/>
        <v>0</v>
      </c>
      <c r="AF49" s="349">
        <f t="shared" si="28"/>
        <v>0</v>
      </c>
      <c r="AG49" s="349">
        <f t="shared" si="29"/>
        <v>0</v>
      </c>
      <c r="AH49" s="349">
        <f t="shared" si="30"/>
        <v>0</v>
      </c>
    </row>
    <row r="50" spans="1:34" ht="11.25">
      <c r="A50" s="348">
        <v>410</v>
      </c>
      <c r="B50" s="348">
        <v>8</v>
      </c>
      <c r="C50" s="349" t="s">
        <v>108</v>
      </c>
      <c r="D50" s="349">
        <f t="shared" si="0"/>
        <v>0</v>
      </c>
      <c r="E50" s="349">
        <f t="shared" si="1"/>
        <v>0</v>
      </c>
      <c r="F50" s="349">
        <f t="shared" si="2"/>
        <v>0</v>
      </c>
      <c r="G50" s="349">
        <f t="shared" si="3"/>
        <v>0</v>
      </c>
      <c r="H50" s="349">
        <f t="shared" si="4"/>
        <v>0</v>
      </c>
      <c r="I50" s="349">
        <f t="shared" si="5"/>
        <v>0</v>
      </c>
      <c r="J50" s="349">
        <f t="shared" si="6"/>
        <v>0</v>
      </c>
      <c r="K50" s="349">
        <f t="shared" si="7"/>
        <v>0</v>
      </c>
      <c r="L50" s="349">
        <f t="shared" si="8"/>
        <v>0</v>
      </c>
      <c r="M50" s="349">
        <f t="shared" si="9"/>
        <v>0</v>
      </c>
      <c r="N50" s="349">
        <f t="shared" si="10"/>
        <v>0</v>
      </c>
      <c r="O50" s="349">
        <f t="shared" si="11"/>
        <v>0</v>
      </c>
      <c r="P50" s="349">
        <f t="shared" si="12"/>
        <v>0</v>
      </c>
      <c r="Q50" s="349">
        <f t="shared" si="13"/>
        <v>0</v>
      </c>
      <c r="R50" s="349">
        <f t="shared" si="14"/>
        <v>0</v>
      </c>
      <c r="S50" s="349">
        <f t="shared" si="15"/>
        <v>0</v>
      </c>
      <c r="T50" s="349">
        <f t="shared" si="16"/>
        <v>0</v>
      </c>
      <c r="U50" s="349">
        <f t="shared" si="17"/>
        <v>0</v>
      </c>
      <c r="V50" s="349">
        <f t="shared" si="18"/>
        <v>0</v>
      </c>
      <c r="W50" s="349">
        <f t="shared" si="19"/>
        <v>0</v>
      </c>
      <c r="X50" s="349">
        <f t="shared" si="20"/>
        <v>0</v>
      </c>
      <c r="Y50" s="349">
        <f t="shared" si="21"/>
        <v>0</v>
      </c>
      <c r="Z50" s="349">
        <f t="shared" si="22"/>
        <v>0</v>
      </c>
      <c r="AA50" s="349">
        <f t="shared" si="23"/>
        <v>0</v>
      </c>
      <c r="AB50" s="349">
        <f t="shared" si="24"/>
        <v>0</v>
      </c>
      <c r="AC50" s="349">
        <f t="shared" si="25"/>
        <v>0</v>
      </c>
      <c r="AD50" s="349">
        <f t="shared" si="26"/>
        <v>0</v>
      </c>
      <c r="AE50" s="349">
        <f t="shared" si="27"/>
        <v>0</v>
      </c>
      <c r="AF50" s="349">
        <f t="shared" si="28"/>
        <v>0</v>
      </c>
      <c r="AG50" s="349">
        <f t="shared" si="29"/>
        <v>0</v>
      </c>
      <c r="AH50" s="349">
        <f t="shared" si="30"/>
        <v>0</v>
      </c>
    </row>
    <row r="51" spans="1:34" ht="11.25">
      <c r="A51" s="348">
        <v>420</v>
      </c>
      <c r="B51" s="348" t="s">
        <v>109</v>
      </c>
      <c r="C51" s="349" t="s">
        <v>110</v>
      </c>
      <c r="D51" s="349">
        <f t="shared" si="0"/>
        <v>0</v>
      </c>
      <c r="E51" s="349">
        <f t="shared" si="1"/>
        <v>0</v>
      </c>
      <c r="F51" s="349">
        <f t="shared" si="2"/>
        <v>0</v>
      </c>
      <c r="G51" s="349">
        <f t="shared" si="3"/>
        <v>0</v>
      </c>
      <c r="H51" s="349">
        <f t="shared" si="4"/>
        <v>0</v>
      </c>
      <c r="I51" s="349">
        <f t="shared" si="5"/>
        <v>0</v>
      </c>
      <c r="J51" s="349">
        <f t="shared" si="6"/>
        <v>0</v>
      </c>
      <c r="K51" s="349">
        <f t="shared" si="7"/>
        <v>0</v>
      </c>
      <c r="L51" s="349">
        <f t="shared" si="8"/>
        <v>0</v>
      </c>
      <c r="M51" s="349">
        <f t="shared" si="9"/>
        <v>0</v>
      </c>
      <c r="N51" s="349">
        <f t="shared" si="10"/>
        <v>0</v>
      </c>
      <c r="O51" s="349">
        <f t="shared" si="11"/>
        <v>0</v>
      </c>
      <c r="P51" s="349">
        <f t="shared" si="12"/>
        <v>0</v>
      </c>
      <c r="Q51" s="349">
        <f t="shared" si="13"/>
        <v>0</v>
      </c>
      <c r="R51" s="349">
        <f t="shared" si="14"/>
        <v>0</v>
      </c>
      <c r="S51" s="349">
        <f t="shared" si="15"/>
        <v>0</v>
      </c>
      <c r="T51" s="349">
        <f t="shared" si="16"/>
        <v>0</v>
      </c>
      <c r="U51" s="349">
        <f t="shared" si="17"/>
        <v>0</v>
      </c>
      <c r="V51" s="349">
        <f t="shared" si="18"/>
        <v>0</v>
      </c>
      <c r="W51" s="349">
        <f t="shared" si="19"/>
        <v>0</v>
      </c>
      <c r="X51" s="349">
        <f t="shared" si="20"/>
        <v>0</v>
      </c>
      <c r="Y51" s="349">
        <f t="shared" si="21"/>
        <v>0</v>
      </c>
      <c r="Z51" s="349">
        <f t="shared" si="22"/>
        <v>0</v>
      </c>
      <c r="AA51" s="349">
        <f t="shared" si="23"/>
        <v>0</v>
      </c>
      <c r="AB51" s="349">
        <f t="shared" si="24"/>
        <v>0</v>
      </c>
      <c r="AC51" s="349">
        <f t="shared" si="25"/>
        <v>0</v>
      </c>
      <c r="AD51" s="349">
        <f t="shared" si="26"/>
        <v>0</v>
      </c>
      <c r="AE51" s="349">
        <f t="shared" si="27"/>
        <v>0</v>
      </c>
      <c r="AF51" s="349">
        <f t="shared" si="28"/>
        <v>0</v>
      </c>
      <c r="AG51" s="349">
        <f t="shared" si="29"/>
        <v>0</v>
      </c>
      <c r="AH51" s="349">
        <f t="shared" si="30"/>
        <v>0</v>
      </c>
    </row>
    <row r="52" spans="1:34" ht="11.25">
      <c r="A52" s="348">
        <v>430</v>
      </c>
      <c r="B52" s="348" t="s">
        <v>112</v>
      </c>
      <c r="C52" s="349" t="s">
        <v>113</v>
      </c>
      <c r="D52" s="349">
        <f t="shared" si="0"/>
        <v>0</v>
      </c>
      <c r="E52" s="349">
        <f t="shared" si="1"/>
        <v>0</v>
      </c>
      <c r="F52" s="349">
        <f t="shared" si="2"/>
        <v>0</v>
      </c>
      <c r="G52" s="349">
        <f t="shared" si="3"/>
        <v>0</v>
      </c>
      <c r="H52" s="349">
        <f t="shared" si="4"/>
        <v>0</v>
      </c>
      <c r="I52" s="349">
        <f t="shared" si="5"/>
        <v>0</v>
      </c>
      <c r="J52" s="349">
        <f t="shared" si="6"/>
        <v>0</v>
      </c>
      <c r="K52" s="349">
        <f t="shared" si="7"/>
        <v>0</v>
      </c>
      <c r="L52" s="349">
        <f t="shared" si="8"/>
        <v>0</v>
      </c>
      <c r="M52" s="349">
        <f t="shared" si="9"/>
        <v>0</v>
      </c>
      <c r="N52" s="349">
        <f t="shared" si="10"/>
        <v>0</v>
      </c>
      <c r="O52" s="349">
        <f t="shared" si="11"/>
        <v>0</v>
      </c>
      <c r="P52" s="349">
        <f t="shared" si="12"/>
        <v>0</v>
      </c>
      <c r="Q52" s="349">
        <f t="shared" si="13"/>
        <v>0</v>
      </c>
      <c r="R52" s="349">
        <f t="shared" si="14"/>
        <v>0</v>
      </c>
      <c r="S52" s="349">
        <f t="shared" si="15"/>
        <v>0</v>
      </c>
      <c r="T52" s="349">
        <f t="shared" si="16"/>
        <v>0</v>
      </c>
      <c r="U52" s="349">
        <f t="shared" si="17"/>
        <v>0</v>
      </c>
      <c r="V52" s="349">
        <f t="shared" si="18"/>
        <v>0</v>
      </c>
      <c r="W52" s="349">
        <f t="shared" si="19"/>
        <v>0</v>
      </c>
      <c r="X52" s="349">
        <f t="shared" si="20"/>
        <v>0</v>
      </c>
      <c r="Y52" s="349">
        <f t="shared" si="21"/>
        <v>0</v>
      </c>
      <c r="Z52" s="349">
        <f t="shared" si="22"/>
        <v>0</v>
      </c>
      <c r="AA52" s="349">
        <f t="shared" si="23"/>
        <v>0</v>
      </c>
      <c r="AB52" s="349">
        <f t="shared" si="24"/>
        <v>0</v>
      </c>
      <c r="AC52" s="349">
        <f t="shared" si="25"/>
        <v>0</v>
      </c>
      <c r="AD52" s="349">
        <f t="shared" si="26"/>
        <v>0</v>
      </c>
      <c r="AE52" s="349">
        <f t="shared" si="27"/>
        <v>0</v>
      </c>
      <c r="AF52" s="349">
        <f t="shared" si="28"/>
        <v>0</v>
      </c>
      <c r="AG52" s="349">
        <f t="shared" si="29"/>
        <v>0</v>
      </c>
      <c r="AH52" s="349">
        <f t="shared" si="30"/>
        <v>0</v>
      </c>
    </row>
    <row r="53" spans="1:34" ht="11.25">
      <c r="A53" s="348">
        <v>440</v>
      </c>
      <c r="B53" s="348">
        <v>9</v>
      </c>
      <c r="C53" s="349" t="s">
        <v>115</v>
      </c>
      <c r="D53" s="349">
        <f t="shared" si="0"/>
        <v>0</v>
      </c>
      <c r="E53" s="349">
        <f t="shared" si="1"/>
        <v>0</v>
      </c>
      <c r="F53" s="349">
        <f t="shared" si="2"/>
        <v>0</v>
      </c>
      <c r="G53" s="349">
        <f t="shared" si="3"/>
        <v>0</v>
      </c>
      <c r="H53" s="349">
        <f t="shared" si="4"/>
        <v>0</v>
      </c>
      <c r="I53" s="349">
        <f t="shared" si="5"/>
        <v>0</v>
      </c>
      <c r="J53" s="349">
        <f t="shared" si="6"/>
        <v>0</v>
      </c>
      <c r="K53" s="349">
        <f t="shared" si="7"/>
        <v>0</v>
      </c>
      <c r="L53" s="349">
        <f t="shared" si="8"/>
        <v>0</v>
      </c>
      <c r="M53" s="349">
        <f t="shared" si="9"/>
        <v>0</v>
      </c>
      <c r="N53" s="349">
        <f t="shared" si="10"/>
        <v>0</v>
      </c>
      <c r="O53" s="349">
        <f t="shared" si="11"/>
        <v>0</v>
      </c>
      <c r="P53" s="349">
        <f t="shared" si="12"/>
        <v>0</v>
      </c>
      <c r="Q53" s="349">
        <f t="shared" si="13"/>
        <v>0</v>
      </c>
      <c r="R53" s="349">
        <f t="shared" si="14"/>
        <v>0</v>
      </c>
      <c r="S53" s="349">
        <f t="shared" si="15"/>
        <v>0</v>
      </c>
      <c r="T53" s="349">
        <f t="shared" si="16"/>
        <v>0</v>
      </c>
      <c r="U53" s="349">
        <f t="shared" si="17"/>
        <v>0</v>
      </c>
      <c r="V53" s="349">
        <f t="shared" si="18"/>
        <v>0</v>
      </c>
      <c r="W53" s="349">
        <f t="shared" si="19"/>
        <v>0</v>
      </c>
      <c r="X53" s="349">
        <f t="shared" si="20"/>
        <v>0</v>
      </c>
      <c r="Y53" s="349">
        <f t="shared" si="21"/>
        <v>0</v>
      </c>
      <c r="Z53" s="349">
        <f t="shared" si="22"/>
        <v>0</v>
      </c>
      <c r="AA53" s="349">
        <f t="shared" si="23"/>
        <v>0</v>
      </c>
      <c r="AB53" s="349">
        <f t="shared" si="24"/>
        <v>0</v>
      </c>
      <c r="AC53" s="349">
        <f t="shared" si="25"/>
        <v>0</v>
      </c>
      <c r="AD53" s="349">
        <f t="shared" si="26"/>
        <v>0</v>
      </c>
      <c r="AE53" s="349">
        <f t="shared" si="27"/>
        <v>0</v>
      </c>
      <c r="AF53" s="349">
        <f t="shared" si="28"/>
        <v>0</v>
      </c>
      <c r="AG53" s="349">
        <f t="shared" si="29"/>
        <v>0</v>
      </c>
      <c r="AH53" s="349">
        <f t="shared" si="30"/>
        <v>0</v>
      </c>
    </row>
    <row r="54" spans="1:34" ht="11.25">
      <c r="A54" s="348">
        <v>470</v>
      </c>
      <c r="B54" s="348" t="s">
        <v>116</v>
      </c>
      <c r="C54" s="349" t="s">
        <v>446</v>
      </c>
      <c r="D54" s="349">
        <f t="shared" si="0"/>
        <v>0</v>
      </c>
      <c r="E54" s="349">
        <f t="shared" si="1"/>
        <v>0</v>
      </c>
      <c r="F54" s="349">
        <f t="shared" si="2"/>
        <v>0</v>
      </c>
      <c r="G54" s="349">
        <f t="shared" si="3"/>
        <v>0</v>
      </c>
      <c r="H54" s="349">
        <f t="shared" si="4"/>
        <v>0</v>
      </c>
      <c r="I54" s="349">
        <f t="shared" si="5"/>
        <v>0</v>
      </c>
      <c r="J54" s="349">
        <f t="shared" si="6"/>
        <v>0</v>
      </c>
      <c r="K54" s="349">
        <f t="shared" si="7"/>
        <v>0</v>
      </c>
      <c r="L54" s="349">
        <f t="shared" si="8"/>
        <v>0</v>
      </c>
      <c r="M54" s="349">
        <f t="shared" si="9"/>
        <v>0</v>
      </c>
      <c r="N54" s="349">
        <f t="shared" si="10"/>
        <v>0</v>
      </c>
      <c r="O54" s="349">
        <f t="shared" si="11"/>
        <v>0</v>
      </c>
      <c r="P54" s="349">
        <f t="shared" si="12"/>
        <v>0</v>
      </c>
      <c r="Q54" s="349">
        <f t="shared" si="13"/>
        <v>0</v>
      </c>
      <c r="R54" s="349">
        <f t="shared" si="14"/>
        <v>0</v>
      </c>
      <c r="S54" s="349">
        <f t="shared" si="15"/>
        <v>0</v>
      </c>
      <c r="T54" s="349">
        <f t="shared" si="16"/>
        <v>0</v>
      </c>
      <c r="U54" s="349">
        <f t="shared" si="17"/>
        <v>0</v>
      </c>
      <c r="V54" s="349">
        <f t="shared" si="18"/>
        <v>0</v>
      </c>
      <c r="W54" s="349">
        <f t="shared" si="19"/>
        <v>0</v>
      </c>
      <c r="X54" s="349">
        <f t="shared" si="20"/>
        <v>0</v>
      </c>
      <c r="Y54" s="349">
        <f t="shared" si="21"/>
        <v>0</v>
      </c>
      <c r="Z54" s="349">
        <f t="shared" si="22"/>
        <v>0</v>
      </c>
      <c r="AA54" s="349">
        <f t="shared" si="23"/>
        <v>0</v>
      </c>
      <c r="AB54" s="349">
        <f t="shared" si="24"/>
        <v>0</v>
      </c>
      <c r="AC54" s="349">
        <f t="shared" si="25"/>
        <v>0</v>
      </c>
      <c r="AD54" s="349">
        <f t="shared" si="26"/>
        <v>0</v>
      </c>
      <c r="AE54" s="349">
        <f t="shared" si="27"/>
        <v>0</v>
      </c>
      <c r="AF54" s="349">
        <f t="shared" si="28"/>
        <v>0</v>
      </c>
      <c r="AG54" s="349">
        <f t="shared" si="29"/>
        <v>0</v>
      </c>
      <c r="AH54" s="349">
        <f t="shared" si="30"/>
        <v>0</v>
      </c>
    </row>
    <row r="55" spans="1:34" ht="11.25">
      <c r="A55" s="348">
        <v>480</v>
      </c>
      <c r="B55" s="348" t="s">
        <v>119</v>
      </c>
      <c r="C55" s="349" t="s">
        <v>447</v>
      </c>
      <c r="D55" s="349">
        <f t="shared" si="0"/>
        <v>0</v>
      </c>
      <c r="E55" s="349">
        <f t="shared" si="1"/>
        <v>0</v>
      </c>
      <c r="F55" s="349">
        <f t="shared" si="2"/>
        <v>0</v>
      </c>
      <c r="G55" s="349">
        <f t="shared" si="3"/>
        <v>0</v>
      </c>
      <c r="H55" s="349">
        <f t="shared" si="4"/>
        <v>0</v>
      </c>
      <c r="I55" s="349">
        <f t="shared" si="5"/>
        <v>0</v>
      </c>
      <c r="J55" s="349">
        <f t="shared" si="6"/>
        <v>0</v>
      </c>
      <c r="K55" s="349">
        <f t="shared" si="7"/>
        <v>0</v>
      </c>
      <c r="L55" s="349">
        <f t="shared" si="8"/>
        <v>0</v>
      </c>
      <c r="M55" s="349">
        <f t="shared" si="9"/>
        <v>0</v>
      </c>
      <c r="N55" s="349">
        <f t="shared" si="10"/>
        <v>0</v>
      </c>
      <c r="O55" s="349">
        <f t="shared" si="11"/>
        <v>0</v>
      </c>
      <c r="P55" s="349">
        <f t="shared" si="12"/>
        <v>0</v>
      </c>
      <c r="Q55" s="349">
        <f t="shared" si="13"/>
        <v>0</v>
      </c>
      <c r="R55" s="349">
        <f t="shared" si="14"/>
        <v>0</v>
      </c>
      <c r="S55" s="349">
        <f t="shared" si="15"/>
        <v>0</v>
      </c>
      <c r="T55" s="349">
        <f t="shared" si="16"/>
        <v>0</v>
      </c>
      <c r="U55" s="349">
        <f t="shared" si="17"/>
        <v>0</v>
      </c>
      <c r="V55" s="349">
        <f t="shared" si="18"/>
        <v>0</v>
      </c>
      <c r="W55" s="349">
        <f t="shared" si="19"/>
        <v>0</v>
      </c>
      <c r="X55" s="349">
        <f t="shared" si="20"/>
        <v>0</v>
      </c>
      <c r="Y55" s="349">
        <f t="shared" si="21"/>
        <v>0</v>
      </c>
      <c r="Z55" s="349">
        <f t="shared" si="22"/>
        <v>0</v>
      </c>
      <c r="AA55" s="349">
        <f t="shared" si="23"/>
        <v>0</v>
      </c>
      <c r="AB55" s="349">
        <f t="shared" si="24"/>
        <v>0</v>
      </c>
      <c r="AC55" s="349">
        <f t="shared" si="25"/>
        <v>0</v>
      </c>
      <c r="AD55" s="349">
        <f t="shared" si="26"/>
        <v>0</v>
      </c>
      <c r="AE55" s="349">
        <f t="shared" si="27"/>
        <v>0</v>
      </c>
      <c r="AF55" s="349">
        <f t="shared" si="28"/>
        <v>0</v>
      </c>
      <c r="AG55" s="349">
        <f t="shared" si="29"/>
        <v>0</v>
      </c>
      <c r="AH55" s="349">
        <f t="shared" si="30"/>
        <v>0</v>
      </c>
    </row>
    <row r="56" spans="1:34" ht="11.25">
      <c r="A56" s="348">
        <v>490</v>
      </c>
      <c r="B56" s="348" t="s">
        <v>122</v>
      </c>
      <c r="C56" s="349" t="s">
        <v>123</v>
      </c>
      <c r="D56" s="349">
        <f t="shared" si="0"/>
        <v>0</v>
      </c>
      <c r="E56" s="349">
        <f t="shared" si="1"/>
        <v>0</v>
      </c>
      <c r="F56" s="349">
        <f t="shared" si="2"/>
        <v>0</v>
      </c>
      <c r="G56" s="349">
        <f t="shared" si="3"/>
        <v>0</v>
      </c>
      <c r="H56" s="349">
        <f t="shared" si="4"/>
        <v>0</v>
      </c>
      <c r="I56" s="349">
        <f t="shared" si="5"/>
        <v>0</v>
      </c>
      <c r="J56" s="349">
        <f t="shared" si="6"/>
        <v>0</v>
      </c>
      <c r="K56" s="349">
        <f t="shared" si="7"/>
        <v>0</v>
      </c>
      <c r="L56" s="349">
        <f t="shared" si="8"/>
        <v>0</v>
      </c>
      <c r="M56" s="349">
        <f t="shared" si="9"/>
        <v>0</v>
      </c>
      <c r="N56" s="349">
        <f t="shared" si="10"/>
        <v>0</v>
      </c>
      <c r="O56" s="349">
        <f t="shared" si="11"/>
        <v>0</v>
      </c>
      <c r="P56" s="349">
        <f t="shared" si="12"/>
        <v>0</v>
      </c>
      <c r="Q56" s="349">
        <f t="shared" si="13"/>
        <v>0</v>
      </c>
      <c r="R56" s="349">
        <f t="shared" si="14"/>
        <v>0</v>
      </c>
      <c r="S56" s="349">
        <f t="shared" si="15"/>
        <v>0</v>
      </c>
      <c r="T56" s="349">
        <f t="shared" si="16"/>
        <v>0</v>
      </c>
      <c r="U56" s="349">
        <f t="shared" si="17"/>
        <v>0</v>
      </c>
      <c r="V56" s="349">
        <f t="shared" si="18"/>
        <v>0</v>
      </c>
      <c r="W56" s="349">
        <f t="shared" si="19"/>
        <v>0</v>
      </c>
      <c r="X56" s="349">
        <f t="shared" si="20"/>
        <v>0</v>
      </c>
      <c r="Y56" s="349">
        <f t="shared" si="21"/>
        <v>0</v>
      </c>
      <c r="Z56" s="349">
        <f t="shared" si="22"/>
        <v>0</v>
      </c>
      <c r="AA56" s="349">
        <f t="shared" si="23"/>
        <v>0</v>
      </c>
      <c r="AB56" s="349">
        <f t="shared" si="24"/>
        <v>0</v>
      </c>
      <c r="AC56" s="349">
        <f t="shared" si="25"/>
        <v>0</v>
      </c>
      <c r="AD56" s="349">
        <f t="shared" si="26"/>
        <v>0</v>
      </c>
      <c r="AE56" s="349">
        <f t="shared" si="27"/>
        <v>0</v>
      </c>
      <c r="AF56" s="349">
        <f t="shared" si="28"/>
        <v>0</v>
      </c>
      <c r="AG56" s="349">
        <f t="shared" si="29"/>
        <v>0</v>
      </c>
      <c r="AH56" s="349">
        <f t="shared" si="30"/>
        <v>0</v>
      </c>
    </row>
    <row r="57" spans="1:34" ht="11.25">
      <c r="A57" s="348">
        <v>500</v>
      </c>
      <c r="B57" s="348" t="s">
        <v>125</v>
      </c>
      <c r="C57" s="349" t="s">
        <v>448</v>
      </c>
      <c r="D57" s="349">
        <f t="shared" si="0"/>
        <v>0</v>
      </c>
      <c r="E57" s="349">
        <f t="shared" si="1"/>
        <v>0</v>
      </c>
      <c r="F57" s="349">
        <f t="shared" si="2"/>
        <v>0</v>
      </c>
      <c r="G57" s="349">
        <f t="shared" si="3"/>
        <v>0</v>
      </c>
      <c r="H57" s="349">
        <f t="shared" si="4"/>
        <v>0</v>
      </c>
      <c r="I57" s="349">
        <f t="shared" si="5"/>
        <v>0</v>
      </c>
      <c r="J57" s="349">
        <f t="shared" si="6"/>
        <v>0</v>
      </c>
      <c r="K57" s="349">
        <f t="shared" si="7"/>
        <v>0</v>
      </c>
      <c r="L57" s="349">
        <f t="shared" si="8"/>
        <v>0</v>
      </c>
      <c r="M57" s="349">
        <f t="shared" si="9"/>
        <v>0</v>
      </c>
      <c r="N57" s="349">
        <f t="shared" si="10"/>
        <v>0</v>
      </c>
      <c r="O57" s="349">
        <f t="shared" si="11"/>
        <v>0</v>
      </c>
      <c r="P57" s="349">
        <f t="shared" si="12"/>
        <v>0</v>
      </c>
      <c r="Q57" s="349">
        <f t="shared" si="13"/>
        <v>0</v>
      </c>
      <c r="R57" s="349">
        <f t="shared" si="14"/>
        <v>0</v>
      </c>
      <c r="S57" s="349">
        <f t="shared" si="15"/>
        <v>0</v>
      </c>
      <c r="T57" s="349">
        <f t="shared" si="16"/>
        <v>0</v>
      </c>
      <c r="U57" s="349">
        <f t="shared" si="17"/>
        <v>0</v>
      </c>
      <c r="V57" s="349">
        <f t="shared" si="18"/>
        <v>0</v>
      </c>
      <c r="W57" s="349">
        <f t="shared" si="19"/>
        <v>0</v>
      </c>
      <c r="X57" s="349">
        <f t="shared" si="20"/>
        <v>0</v>
      </c>
      <c r="Y57" s="349">
        <f t="shared" si="21"/>
        <v>0</v>
      </c>
      <c r="Z57" s="349">
        <f t="shared" si="22"/>
        <v>0</v>
      </c>
      <c r="AA57" s="349">
        <f t="shared" si="23"/>
        <v>0</v>
      </c>
      <c r="AB57" s="349">
        <f t="shared" si="24"/>
        <v>0</v>
      </c>
      <c r="AC57" s="349">
        <f t="shared" si="25"/>
        <v>0</v>
      </c>
      <c r="AD57" s="349">
        <f t="shared" si="26"/>
        <v>0</v>
      </c>
      <c r="AE57" s="349">
        <f t="shared" si="27"/>
        <v>0</v>
      </c>
      <c r="AF57" s="349">
        <f t="shared" si="28"/>
        <v>0</v>
      </c>
      <c r="AG57" s="349">
        <f t="shared" si="29"/>
        <v>0</v>
      </c>
      <c r="AH57" s="349">
        <f t="shared" si="30"/>
        <v>0</v>
      </c>
    </row>
    <row r="58" spans="1:34" ht="11.25">
      <c r="A58" s="348">
        <v>508</v>
      </c>
      <c r="B58" s="348" t="s">
        <v>128</v>
      </c>
      <c r="C58" s="349" t="s">
        <v>129</v>
      </c>
      <c r="D58" s="349">
        <f t="shared" si="0"/>
        <v>0</v>
      </c>
      <c r="E58" s="349">
        <f t="shared" si="1"/>
        <v>0</v>
      </c>
      <c r="F58" s="349">
        <f t="shared" si="2"/>
        <v>0</v>
      </c>
      <c r="G58" s="349">
        <f t="shared" si="3"/>
        <v>0</v>
      </c>
      <c r="H58" s="349">
        <f t="shared" si="4"/>
        <v>0</v>
      </c>
      <c r="I58" s="349">
        <f t="shared" si="5"/>
        <v>0</v>
      </c>
      <c r="J58" s="349">
        <f t="shared" si="6"/>
        <v>0</v>
      </c>
      <c r="K58" s="349">
        <f t="shared" si="7"/>
        <v>0</v>
      </c>
      <c r="L58" s="349">
        <f t="shared" si="8"/>
        <v>0</v>
      </c>
      <c r="M58" s="349">
        <f t="shared" si="9"/>
        <v>0</v>
      </c>
      <c r="N58" s="349">
        <f t="shared" si="10"/>
        <v>0</v>
      </c>
      <c r="O58" s="349">
        <f t="shared" si="11"/>
        <v>0</v>
      </c>
      <c r="P58" s="349">
        <f t="shared" si="12"/>
        <v>0</v>
      </c>
      <c r="Q58" s="349">
        <f t="shared" si="13"/>
        <v>0</v>
      </c>
      <c r="R58" s="349">
        <f t="shared" si="14"/>
        <v>0</v>
      </c>
      <c r="S58" s="349">
        <f t="shared" si="15"/>
        <v>0</v>
      </c>
      <c r="T58" s="349">
        <f t="shared" si="16"/>
        <v>0</v>
      </c>
      <c r="U58" s="349">
        <f t="shared" si="17"/>
        <v>0</v>
      </c>
      <c r="V58" s="349">
        <f t="shared" si="18"/>
        <v>0</v>
      </c>
      <c r="W58" s="349">
        <f t="shared" si="19"/>
        <v>0</v>
      </c>
      <c r="X58" s="349">
        <f t="shared" si="20"/>
        <v>0</v>
      </c>
      <c r="Y58" s="349">
        <f t="shared" si="21"/>
        <v>0</v>
      </c>
      <c r="Z58" s="349">
        <f t="shared" si="22"/>
        <v>0</v>
      </c>
      <c r="AA58" s="349">
        <f t="shared" si="23"/>
        <v>0</v>
      </c>
      <c r="AB58" s="349">
        <f t="shared" si="24"/>
        <v>0</v>
      </c>
      <c r="AC58" s="349">
        <f t="shared" si="25"/>
        <v>0</v>
      </c>
      <c r="AD58" s="349">
        <f t="shared" si="26"/>
        <v>0</v>
      </c>
      <c r="AE58" s="349">
        <f t="shared" si="27"/>
        <v>0</v>
      </c>
      <c r="AF58" s="349">
        <f t="shared" si="28"/>
        <v>0</v>
      </c>
      <c r="AG58" s="349">
        <f t="shared" si="29"/>
        <v>0</v>
      </c>
      <c r="AH58" s="349">
        <f t="shared" si="30"/>
        <v>0</v>
      </c>
    </row>
    <row r="59" spans="1:34" ht="11.25">
      <c r="A59" s="348">
        <v>510</v>
      </c>
      <c r="B59" s="348" t="s">
        <v>131</v>
      </c>
      <c r="C59" s="349" t="s">
        <v>449</v>
      </c>
      <c r="D59" s="349">
        <f t="shared" si="0"/>
        <v>0</v>
      </c>
      <c r="E59" s="349">
        <f t="shared" si="1"/>
        <v>0</v>
      </c>
      <c r="F59" s="349">
        <f t="shared" si="2"/>
        <v>0</v>
      </c>
      <c r="G59" s="349">
        <f t="shared" si="3"/>
        <v>0</v>
      </c>
      <c r="H59" s="349">
        <f t="shared" si="4"/>
        <v>0</v>
      </c>
      <c r="I59" s="349">
        <f t="shared" si="5"/>
        <v>0</v>
      </c>
      <c r="J59" s="349">
        <f t="shared" si="6"/>
        <v>0</v>
      </c>
      <c r="K59" s="349">
        <f t="shared" si="7"/>
        <v>0</v>
      </c>
      <c r="L59" s="349">
        <f t="shared" si="8"/>
        <v>0</v>
      </c>
      <c r="M59" s="349">
        <f t="shared" si="9"/>
        <v>0</v>
      </c>
      <c r="N59" s="349">
        <f t="shared" si="10"/>
        <v>0</v>
      </c>
      <c r="O59" s="349">
        <f t="shared" si="11"/>
        <v>0</v>
      </c>
      <c r="P59" s="349">
        <f t="shared" si="12"/>
        <v>0</v>
      </c>
      <c r="Q59" s="349">
        <f t="shared" si="13"/>
        <v>0</v>
      </c>
      <c r="R59" s="349">
        <f t="shared" si="14"/>
        <v>0</v>
      </c>
      <c r="S59" s="349">
        <f t="shared" si="15"/>
        <v>0</v>
      </c>
      <c r="T59" s="349">
        <f t="shared" si="16"/>
        <v>0</v>
      </c>
      <c r="U59" s="349">
        <f t="shared" si="17"/>
        <v>0</v>
      </c>
      <c r="V59" s="349">
        <f t="shared" si="18"/>
        <v>0</v>
      </c>
      <c r="W59" s="349">
        <f t="shared" si="19"/>
        <v>0</v>
      </c>
      <c r="X59" s="349">
        <f t="shared" si="20"/>
        <v>0</v>
      </c>
      <c r="Y59" s="349">
        <f t="shared" si="21"/>
        <v>0</v>
      </c>
      <c r="Z59" s="349">
        <f t="shared" si="22"/>
        <v>0</v>
      </c>
      <c r="AA59" s="349">
        <f t="shared" si="23"/>
        <v>0</v>
      </c>
      <c r="AB59" s="349">
        <f t="shared" si="24"/>
        <v>0</v>
      </c>
      <c r="AC59" s="349">
        <f t="shared" si="25"/>
        <v>0</v>
      </c>
      <c r="AD59" s="349">
        <f t="shared" si="26"/>
        <v>0</v>
      </c>
      <c r="AE59" s="349">
        <f t="shared" si="27"/>
        <v>0</v>
      </c>
      <c r="AF59" s="349">
        <f t="shared" si="28"/>
        <v>0</v>
      </c>
      <c r="AG59" s="349">
        <f t="shared" si="29"/>
        <v>0</v>
      </c>
      <c r="AH59" s="349">
        <f t="shared" si="30"/>
        <v>0</v>
      </c>
    </row>
    <row r="60" spans="1:34" ht="11.25">
      <c r="A60" s="348">
        <v>520</v>
      </c>
      <c r="B60" s="348" t="s">
        <v>134</v>
      </c>
      <c r="C60" s="349" t="s">
        <v>450</v>
      </c>
      <c r="D60" s="349">
        <f t="shared" si="0"/>
        <v>0</v>
      </c>
      <c r="E60" s="349">
        <f t="shared" si="1"/>
        <v>0</v>
      </c>
      <c r="F60" s="349">
        <f t="shared" si="2"/>
        <v>0</v>
      </c>
      <c r="G60" s="349">
        <f t="shared" si="3"/>
        <v>0</v>
      </c>
      <c r="H60" s="349">
        <f t="shared" si="4"/>
        <v>0</v>
      </c>
      <c r="I60" s="349">
        <f t="shared" si="5"/>
        <v>0</v>
      </c>
      <c r="J60" s="349">
        <f t="shared" si="6"/>
        <v>0</v>
      </c>
      <c r="K60" s="349">
        <f t="shared" si="7"/>
        <v>0</v>
      </c>
      <c r="L60" s="349">
        <f t="shared" si="8"/>
        <v>0</v>
      </c>
      <c r="M60" s="349">
        <f t="shared" si="9"/>
        <v>0</v>
      </c>
      <c r="N60" s="349">
        <f t="shared" si="10"/>
        <v>0</v>
      </c>
      <c r="O60" s="349">
        <f t="shared" si="11"/>
        <v>0</v>
      </c>
      <c r="P60" s="349">
        <f t="shared" si="12"/>
        <v>0</v>
      </c>
      <c r="Q60" s="349">
        <f t="shared" si="13"/>
        <v>0</v>
      </c>
      <c r="R60" s="349">
        <f t="shared" si="14"/>
        <v>0</v>
      </c>
      <c r="S60" s="349">
        <f t="shared" si="15"/>
        <v>0</v>
      </c>
      <c r="T60" s="349">
        <f t="shared" si="16"/>
        <v>0</v>
      </c>
      <c r="U60" s="349">
        <f t="shared" si="17"/>
        <v>0</v>
      </c>
      <c r="V60" s="349">
        <f t="shared" si="18"/>
        <v>0</v>
      </c>
      <c r="W60" s="349">
        <f t="shared" si="19"/>
        <v>0</v>
      </c>
      <c r="X60" s="349">
        <f t="shared" si="20"/>
        <v>0</v>
      </c>
      <c r="Y60" s="349">
        <f t="shared" si="21"/>
        <v>0</v>
      </c>
      <c r="Z60" s="349">
        <f t="shared" si="22"/>
        <v>0</v>
      </c>
      <c r="AA60" s="349">
        <f t="shared" si="23"/>
        <v>0</v>
      </c>
      <c r="AB60" s="349">
        <f t="shared" si="24"/>
        <v>0</v>
      </c>
      <c r="AC60" s="349">
        <f t="shared" si="25"/>
        <v>0</v>
      </c>
      <c r="AD60" s="349">
        <f t="shared" si="26"/>
        <v>0</v>
      </c>
      <c r="AE60" s="349">
        <f t="shared" si="27"/>
        <v>0</v>
      </c>
      <c r="AF60" s="349">
        <f t="shared" si="28"/>
        <v>0</v>
      </c>
      <c r="AG60" s="349">
        <f t="shared" si="29"/>
        <v>0</v>
      </c>
      <c r="AH60" s="349">
        <f t="shared" si="30"/>
        <v>0</v>
      </c>
    </row>
    <row r="61" spans="1:34" ht="11.25">
      <c r="A61" s="348">
        <v>530</v>
      </c>
      <c r="B61" s="348" t="s">
        <v>137</v>
      </c>
      <c r="C61" s="349" t="s">
        <v>138</v>
      </c>
      <c r="D61" s="349">
        <f t="shared" si="0"/>
        <v>0</v>
      </c>
      <c r="E61" s="349">
        <f t="shared" si="1"/>
        <v>0</v>
      </c>
      <c r="F61" s="349">
        <f t="shared" si="2"/>
        <v>0</v>
      </c>
      <c r="G61" s="349">
        <f t="shared" si="3"/>
        <v>0</v>
      </c>
      <c r="H61" s="349">
        <f t="shared" si="4"/>
        <v>0</v>
      </c>
      <c r="I61" s="349">
        <f t="shared" si="5"/>
        <v>0</v>
      </c>
      <c r="J61" s="349">
        <f t="shared" si="6"/>
        <v>0</v>
      </c>
      <c r="K61" s="349">
        <f t="shared" si="7"/>
        <v>0</v>
      </c>
      <c r="L61" s="349">
        <f t="shared" si="8"/>
        <v>0</v>
      </c>
      <c r="M61" s="349">
        <f t="shared" si="9"/>
        <v>0</v>
      </c>
      <c r="N61" s="349">
        <f t="shared" si="10"/>
        <v>0</v>
      </c>
      <c r="O61" s="349">
        <f t="shared" si="11"/>
        <v>0</v>
      </c>
      <c r="P61" s="349">
        <f t="shared" si="12"/>
        <v>0</v>
      </c>
      <c r="Q61" s="349">
        <f t="shared" si="13"/>
        <v>0</v>
      </c>
      <c r="R61" s="349">
        <f t="shared" si="14"/>
        <v>0</v>
      </c>
      <c r="S61" s="349">
        <f t="shared" si="15"/>
        <v>0</v>
      </c>
      <c r="T61" s="349">
        <f t="shared" si="16"/>
        <v>0</v>
      </c>
      <c r="U61" s="349">
        <f t="shared" si="17"/>
        <v>0</v>
      </c>
      <c r="V61" s="349">
        <f t="shared" si="18"/>
        <v>0</v>
      </c>
      <c r="W61" s="349">
        <f t="shared" si="19"/>
        <v>0</v>
      </c>
      <c r="X61" s="349">
        <f t="shared" si="20"/>
        <v>0</v>
      </c>
      <c r="Y61" s="349">
        <f t="shared" si="21"/>
        <v>0</v>
      </c>
      <c r="Z61" s="349">
        <f t="shared" si="22"/>
        <v>0</v>
      </c>
      <c r="AA61" s="349">
        <f t="shared" si="23"/>
        <v>0</v>
      </c>
      <c r="AB61" s="349">
        <f t="shared" si="24"/>
        <v>0</v>
      </c>
      <c r="AC61" s="349">
        <f t="shared" si="25"/>
        <v>0</v>
      </c>
      <c r="AD61" s="349">
        <f t="shared" si="26"/>
        <v>0</v>
      </c>
      <c r="AE61" s="349">
        <f t="shared" si="27"/>
        <v>0</v>
      </c>
      <c r="AF61" s="349">
        <f t="shared" si="28"/>
        <v>0</v>
      </c>
      <c r="AG61" s="349">
        <f t="shared" si="29"/>
        <v>0</v>
      </c>
      <c r="AH61" s="349">
        <f t="shared" si="30"/>
        <v>0</v>
      </c>
    </row>
    <row r="62" spans="1:34" ht="11.25">
      <c r="A62" s="348">
        <v>540</v>
      </c>
      <c r="B62" s="348" t="s">
        <v>140</v>
      </c>
      <c r="C62" s="349" t="s">
        <v>141</v>
      </c>
      <c r="D62" s="349">
        <f t="shared" si="0"/>
        <v>0</v>
      </c>
      <c r="E62" s="349">
        <f t="shared" si="1"/>
        <v>0</v>
      </c>
      <c r="F62" s="349">
        <f t="shared" si="2"/>
        <v>0</v>
      </c>
      <c r="G62" s="349">
        <f t="shared" si="3"/>
        <v>0</v>
      </c>
      <c r="H62" s="349">
        <f t="shared" si="4"/>
        <v>0</v>
      </c>
      <c r="I62" s="349">
        <f t="shared" si="5"/>
        <v>0</v>
      </c>
      <c r="J62" s="349">
        <f t="shared" si="6"/>
        <v>0</v>
      </c>
      <c r="K62" s="349">
        <f t="shared" si="7"/>
        <v>0</v>
      </c>
      <c r="L62" s="349">
        <f t="shared" si="8"/>
        <v>0</v>
      </c>
      <c r="M62" s="349">
        <f t="shared" si="9"/>
        <v>0</v>
      </c>
      <c r="N62" s="349">
        <f t="shared" si="10"/>
        <v>0</v>
      </c>
      <c r="O62" s="349">
        <f t="shared" si="11"/>
        <v>0</v>
      </c>
      <c r="P62" s="349">
        <f t="shared" si="12"/>
        <v>0</v>
      </c>
      <c r="Q62" s="349">
        <f t="shared" si="13"/>
        <v>0</v>
      </c>
      <c r="R62" s="349">
        <f t="shared" si="14"/>
        <v>0</v>
      </c>
      <c r="S62" s="349">
        <f t="shared" si="15"/>
        <v>0</v>
      </c>
      <c r="T62" s="349">
        <f t="shared" si="16"/>
        <v>0</v>
      </c>
      <c r="U62" s="349">
        <f t="shared" si="17"/>
        <v>0</v>
      </c>
      <c r="V62" s="349">
        <f t="shared" si="18"/>
        <v>0</v>
      </c>
      <c r="W62" s="349">
        <f t="shared" si="19"/>
        <v>0</v>
      </c>
      <c r="X62" s="349">
        <f t="shared" si="20"/>
        <v>0</v>
      </c>
      <c r="Y62" s="349">
        <f t="shared" si="21"/>
        <v>0</v>
      </c>
      <c r="Z62" s="349">
        <f t="shared" si="22"/>
        <v>0</v>
      </c>
      <c r="AA62" s="349">
        <f t="shared" si="23"/>
        <v>0</v>
      </c>
      <c r="AB62" s="349">
        <f t="shared" si="24"/>
        <v>0</v>
      </c>
      <c r="AC62" s="349">
        <f t="shared" si="25"/>
        <v>0</v>
      </c>
      <c r="AD62" s="349">
        <f t="shared" si="26"/>
        <v>0</v>
      </c>
      <c r="AE62" s="349">
        <f t="shared" si="27"/>
        <v>0</v>
      </c>
      <c r="AF62" s="349">
        <f t="shared" si="28"/>
        <v>0</v>
      </c>
      <c r="AG62" s="349">
        <f t="shared" si="29"/>
        <v>0</v>
      </c>
      <c r="AH62" s="349">
        <f t="shared" si="30"/>
        <v>0</v>
      </c>
    </row>
    <row r="63" spans="1:34" ht="11.25">
      <c r="A63" s="348">
        <v>550</v>
      </c>
      <c r="B63" s="348">
        <v>10</v>
      </c>
      <c r="C63" s="349" t="s">
        <v>143</v>
      </c>
      <c r="D63" s="349">
        <f t="shared" si="0"/>
        <v>0</v>
      </c>
      <c r="E63" s="349">
        <f t="shared" si="1"/>
        <v>0</v>
      </c>
      <c r="F63" s="349">
        <f t="shared" si="2"/>
        <v>0</v>
      </c>
      <c r="G63" s="349">
        <f t="shared" si="3"/>
        <v>0</v>
      </c>
      <c r="H63" s="349">
        <f t="shared" si="4"/>
        <v>0</v>
      </c>
      <c r="I63" s="349">
        <f t="shared" si="5"/>
        <v>0</v>
      </c>
      <c r="J63" s="349">
        <f t="shared" si="6"/>
        <v>0</v>
      </c>
      <c r="K63" s="349">
        <f t="shared" si="7"/>
        <v>0</v>
      </c>
      <c r="L63" s="349">
        <f t="shared" si="8"/>
        <v>0</v>
      </c>
      <c r="M63" s="349">
        <f t="shared" si="9"/>
        <v>0</v>
      </c>
      <c r="N63" s="349">
        <f t="shared" si="10"/>
        <v>0</v>
      </c>
      <c r="O63" s="349">
        <f t="shared" si="11"/>
        <v>0</v>
      </c>
      <c r="P63" s="349">
        <f t="shared" si="12"/>
        <v>0</v>
      </c>
      <c r="Q63" s="349">
        <f t="shared" si="13"/>
        <v>0</v>
      </c>
      <c r="R63" s="349">
        <f t="shared" si="14"/>
        <v>0</v>
      </c>
      <c r="S63" s="349">
        <f t="shared" si="15"/>
        <v>0</v>
      </c>
      <c r="T63" s="349">
        <f t="shared" si="16"/>
        <v>0</v>
      </c>
      <c r="U63" s="349">
        <f t="shared" si="17"/>
        <v>0</v>
      </c>
      <c r="V63" s="349">
        <f t="shared" si="18"/>
        <v>0</v>
      </c>
      <c r="W63" s="349">
        <f t="shared" si="19"/>
        <v>0</v>
      </c>
      <c r="X63" s="349">
        <f t="shared" si="20"/>
        <v>0</v>
      </c>
      <c r="Y63" s="349">
        <f t="shared" si="21"/>
        <v>0</v>
      </c>
      <c r="Z63" s="349">
        <f t="shared" si="22"/>
        <v>0</v>
      </c>
      <c r="AA63" s="349">
        <f t="shared" si="23"/>
        <v>0</v>
      </c>
      <c r="AB63" s="349">
        <f t="shared" si="24"/>
        <v>0</v>
      </c>
      <c r="AC63" s="349">
        <f t="shared" si="25"/>
        <v>0</v>
      </c>
      <c r="AD63" s="349">
        <f t="shared" si="26"/>
        <v>0</v>
      </c>
      <c r="AE63" s="349">
        <f t="shared" si="27"/>
        <v>0</v>
      </c>
      <c r="AF63" s="349">
        <f t="shared" si="28"/>
        <v>0</v>
      </c>
      <c r="AG63" s="349">
        <f t="shared" si="29"/>
        <v>0</v>
      </c>
      <c r="AH63" s="349">
        <f t="shared" si="30"/>
        <v>0</v>
      </c>
    </row>
    <row r="64" spans="1:34" ht="11.25">
      <c r="A64" s="348">
        <v>560</v>
      </c>
      <c r="B64" s="348" t="s">
        <v>144</v>
      </c>
      <c r="C64" s="349" t="s">
        <v>145</v>
      </c>
      <c r="D64" s="349">
        <f t="shared" si="0"/>
        <v>0</v>
      </c>
      <c r="E64" s="349">
        <f t="shared" si="1"/>
        <v>0</v>
      </c>
      <c r="F64" s="349">
        <f t="shared" si="2"/>
        <v>0</v>
      </c>
      <c r="G64" s="349">
        <f t="shared" si="3"/>
        <v>0</v>
      </c>
      <c r="H64" s="349">
        <f t="shared" si="4"/>
        <v>0</v>
      </c>
      <c r="I64" s="349">
        <f t="shared" si="5"/>
        <v>0</v>
      </c>
      <c r="J64" s="349">
        <f t="shared" si="6"/>
        <v>0</v>
      </c>
      <c r="K64" s="349">
        <f t="shared" si="7"/>
        <v>0</v>
      </c>
      <c r="L64" s="349">
        <f t="shared" si="8"/>
        <v>0</v>
      </c>
      <c r="M64" s="349">
        <f t="shared" si="9"/>
        <v>0</v>
      </c>
      <c r="N64" s="349">
        <f t="shared" si="10"/>
        <v>0</v>
      </c>
      <c r="O64" s="349">
        <f t="shared" si="11"/>
        <v>0</v>
      </c>
      <c r="P64" s="349">
        <f t="shared" si="12"/>
        <v>0</v>
      </c>
      <c r="Q64" s="349">
        <f t="shared" si="13"/>
        <v>0</v>
      </c>
      <c r="R64" s="349">
        <f t="shared" si="14"/>
        <v>0</v>
      </c>
      <c r="S64" s="349">
        <f t="shared" si="15"/>
        <v>0</v>
      </c>
      <c r="T64" s="349">
        <f t="shared" si="16"/>
        <v>0</v>
      </c>
      <c r="U64" s="349">
        <f t="shared" si="17"/>
        <v>0</v>
      </c>
      <c r="V64" s="349">
        <f t="shared" si="18"/>
        <v>0</v>
      </c>
      <c r="W64" s="349">
        <f t="shared" si="19"/>
        <v>0</v>
      </c>
      <c r="X64" s="349">
        <f t="shared" si="20"/>
        <v>0</v>
      </c>
      <c r="Y64" s="349">
        <f t="shared" si="21"/>
        <v>0</v>
      </c>
      <c r="Z64" s="349">
        <f t="shared" si="22"/>
        <v>0</v>
      </c>
      <c r="AA64" s="349">
        <f t="shared" si="23"/>
        <v>0</v>
      </c>
      <c r="AB64" s="349">
        <f t="shared" si="24"/>
        <v>0</v>
      </c>
      <c r="AC64" s="349">
        <f t="shared" si="25"/>
        <v>0</v>
      </c>
      <c r="AD64" s="349">
        <f t="shared" si="26"/>
        <v>0</v>
      </c>
      <c r="AE64" s="349">
        <f t="shared" si="27"/>
        <v>0</v>
      </c>
      <c r="AF64" s="349">
        <f t="shared" si="28"/>
        <v>0</v>
      </c>
      <c r="AG64" s="349">
        <f t="shared" si="29"/>
        <v>0</v>
      </c>
      <c r="AH64" s="349">
        <f t="shared" si="30"/>
        <v>0</v>
      </c>
    </row>
    <row r="65" spans="1:34" ht="11.25">
      <c r="A65" s="348">
        <v>570</v>
      </c>
      <c r="B65" s="348">
        <v>11</v>
      </c>
      <c r="C65" s="349" t="s">
        <v>147</v>
      </c>
      <c r="D65" s="349">
        <f t="shared" si="0"/>
        <v>0</v>
      </c>
      <c r="E65" s="349">
        <f t="shared" si="1"/>
        <v>0</v>
      </c>
      <c r="F65" s="349">
        <f t="shared" si="2"/>
        <v>0</v>
      </c>
      <c r="G65" s="349">
        <f t="shared" si="3"/>
        <v>0</v>
      </c>
      <c r="H65" s="349">
        <f t="shared" si="4"/>
        <v>0</v>
      </c>
      <c r="I65" s="349">
        <f t="shared" si="5"/>
        <v>0</v>
      </c>
      <c r="J65" s="349">
        <f t="shared" si="6"/>
        <v>0</v>
      </c>
      <c r="K65" s="349">
        <f t="shared" si="7"/>
        <v>0</v>
      </c>
      <c r="L65" s="349">
        <f t="shared" si="8"/>
        <v>0</v>
      </c>
      <c r="M65" s="349">
        <f t="shared" si="9"/>
        <v>0</v>
      </c>
      <c r="N65" s="349">
        <f t="shared" si="10"/>
        <v>0</v>
      </c>
      <c r="O65" s="349">
        <f t="shared" si="11"/>
        <v>0</v>
      </c>
      <c r="P65" s="349">
        <f t="shared" si="12"/>
        <v>0</v>
      </c>
      <c r="Q65" s="349">
        <f t="shared" si="13"/>
        <v>0</v>
      </c>
      <c r="R65" s="349">
        <f t="shared" si="14"/>
        <v>0</v>
      </c>
      <c r="S65" s="349">
        <f t="shared" si="15"/>
        <v>0</v>
      </c>
      <c r="T65" s="349">
        <f t="shared" si="16"/>
        <v>0</v>
      </c>
      <c r="U65" s="349">
        <f t="shared" si="17"/>
        <v>0</v>
      </c>
      <c r="V65" s="349">
        <f t="shared" si="18"/>
        <v>0</v>
      </c>
      <c r="W65" s="349">
        <f t="shared" si="19"/>
        <v>0</v>
      </c>
      <c r="X65" s="349">
        <f t="shared" si="20"/>
        <v>0</v>
      </c>
      <c r="Y65" s="349">
        <f t="shared" si="21"/>
        <v>0</v>
      </c>
      <c r="Z65" s="349">
        <f t="shared" si="22"/>
        <v>0</v>
      </c>
      <c r="AA65" s="349">
        <f t="shared" si="23"/>
        <v>0</v>
      </c>
      <c r="AB65" s="349">
        <f t="shared" si="24"/>
        <v>0</v>
      </c>
      <c r="AC65" s="349">
        <f t="shared" si="25"/>
        <v>0</v>
      </c>
      <c r="AD65" s="349">
        <f t="shared" si="26"/>
        <v>0</v>
      </c>
      <c r="AE65" s="349">
        <f t="shared" si="27"/>
        <v>0</v>
      </c>
      <c r="AF65" s="349">
        <f t="shared" si="28"/>
        <v>0</v>
      </c>
      <c r="AG65" s="349">
        <f t="shared" si="29"/>
        <v>0</v>
      </c>
      <c r="AH65" s="349">
        <f t="shared" si="30"/>
        <v>0</v>
      </c>
    </row>
    <row r="66" spans="1:34" ht="11.25">
      <c r="A66" s="348">
        <v>580</v>
      </c>
      <c r="B66" s="348" t="s">
        <v>148</v>
      </c>
      <c r="C66" s="349" t="s">
        <v>149</v>
      </c>
      <c r="D66" s="349">
        <f t="shared" si="0"/>
        <v>0</v>
      </c>
      <c r="E66" s="349">
        <f t="shared" si="1"/>
        <v>0</v>
      </c>
      <c r="F66" s="349">
        <f t="shared" si="2"/>
        <v>0</v>
      </c>
      <c r="G66" s="349">
        <f t="shared" si="3"/>
        <v>0</v>
      </c>
      <c r="H66" s="349">
        <f t="shared" si="4"/>
        <v>0</v>
      </c>
      <c r="I66" s="349">
        <f t="shared" si="5"/>
        <v>0</v>
      </c>
      <c r="J66" s="349">
        <f t="shared" si="6"/>
        <v>0</v>
      </c>
      <c r="K66" s="349">
        <f t="shared" si="7"/>
        <v>0</v>
      </c>
      <c r="L66" s="349">
        <f t="shared" si="8"/>
        <v>0</v>
      </c>
      <c r="M66" s="349">
        <f t="shared" si="9"/>
        <v>0</v>
      </c>
      <c r="N66" s="349">
        <f t="shared" si="10"/>
        <v>0</v>
      </c>
      <c r="O66" s="349">
        <f t="shared" si="11"/>
        <v>0</v>
      </c>
      <c r="P66" s="349">
        <f t="shared" si="12"/>
        <v>0</v>
      </c>
      <c r="Q66" s="349">
        <f t="shared" si="13"/>
        <v>0</v>
      </c>
      <c r="R66" s="349">
        <f t="shared" si="14"/>
        <v>0</v>
      </c>
      <c r="S66" s="349">
        <f t="shared" si="15"/>
        <v>0</v>
      </c>
      <c r="T66" s="349">
        <f t="shared" si="16"/>
        <v>0</v>
      </c>
      <c r="U66" s="349">
        <f t="shared" si="17"/>
        <v>0</v>
      </c>
      <c r="V66" s="349">
        <f t="shared" si="18"/>
        <v>0</v>
      </c>
      <c r="W66" s="349">
        <f t="shared" si="19"/>
        <v>0</v>
      </c>
      <c r="X66" s="349">
        <f t="shared" si="20"/>
        <v>0</v>
      </c>
      <c r="Y66" s="349">
        <f t="shared" si="21"/>
        <v>0</v>
      </c>
      <c r="Z66" s="349">
        <f t="shared" si="22"/>
        <v>0</v>
      </c>
      <c r="AA66" s="349">
        <f t="shared" si="23"/>
        <v>0</v>
      </c>
      <c r="AB66" s="349">
        <f t="shared" si="24"/>
        <v>0</v>
      </c>
      <c r="AC66" s="349">
        <f t="shared" si="25"/>
        <v>0</v>
      </c>
      <c r="AD66" s="349">
        <f t="shared" si="26"/>
        <v>0</v>
      </c>
      <c r="AE66" s="349">
        <f t="shared" si="27"/>
        <v>0</v>
      </c>
      <c r="AF66" s="349">
        <f t="shared" si="28"/>
        <v>0</v>
      </c>
      <c r="AG66" s="349">
        <f t="shared" si="29"/>
        <v>0</v>
      </c>
      <c r="AH66" s="349">
        <f t="shared" si="30"/>
        <v>0</v>
      </c>
    </row>
    <row r="67" spans="1:34" ht="11.25">
      <c r="A67" s="348">
        <v>590</v>
      </c>
      <c r="B67" s="348" t="s">
        <v>151</v>
      </c>
      <c r="C67" s="349" t="s">
        <v>152</v>
      </c>
      <c r="D67" s="349">
        <f t="shared" si="0"/>
        <v>0</v>
      </c>
      <c r="E67" s="349">
        <f t="shared" si="1"/>
        <v>0</v>
      </c>
      <c r="F67" s="349">
        <f t="shared" si="2"/>
        <v>0</v>
      </c>
      <c r="G67" s="349">
        <f t="shared" si="3"/>
        <v>0</v>
      </c>
      <c r="H67" s="349">
        <f t="shared" si="4"/>
        <v>0</v>
      </c>
      <c r="I67" s="349">
        <f t="shared" si="5"/>
        <v>0</v>
      </c>
      <c r="J67" s="349">
        <f t="shared" si="6"/>
        <v>0</v>
      </c>
      <c r="K67" s="349">
        <f t="shared" si="7"/>
        <v>0</v>
      </c>
      <c r="L67" s="349">
        <f t="shared" si="8"/>
        <v>0</v>
      </c>
      <c r="M67" s="349">
        <f t="shared" si="9"/>
        <v>0</v>
      </c>
      <c r="N67" s="349">
        <f t="shared" si="10"/>
        <v>0</v>
      </c>
      <c r="O67" s="349">
        <f t="shared" si="11"/>
        <v>0</v>
      </c>
      <c r="P67" s="349">
        <f t="shared" si="12"/>
        <v>0</v>
      </c>
      <c r="Q67" s="349">
        <f t="shared" si="13"/>
        <v>0</v>
      </c>
      <c r="R67" s="349">
        <f t="shared" si="14"/>
        <v>0</v>
      </c>
      <c r="S67" s="349">
        <f t="shared" si="15"/>
        <v>0</v>
      </c>
      <c r="T67" s="349">
        <f t="shared" si="16"/>
        <v>0</v>
      </c>
      <c r="U67" s="349">
        <f t="shared" si="17"/>
        <v>0</v>
      </c>
      <c r="V67" s="349">
        <f t="shared" si="18"/>
        <v>0</v>
      </c>
      <c r="W67" s="349">
        <f t="shared" si="19"/>
        <v>0</v>
      </c>
      <c r="X67" s="349">
        <f t="shared" si="20"/>
        <v>0</v>
      </c>
      <c r="Y67" s="349">
        <f t="shared" si="21"/>
        <v>0</v>
      </c>
      <c r="Z67" s="349">
        <f t="shared" si="22"/>
        <v>0</v>
      </c>
      <c r="AA67" s="349">
        <f t="shared" si="23"/>
        <v>0</v>
      </c>
      <c r="AB67" s="349">
        <f t="shared" si="24"/>
        <v>0</v>
      </c>
      <c r="AC67" s="349">
        <f t="shared" si="25"/>
        <v>0</v>
      </c>
      <c r="AD67" s="349">
        <f t="shared" si="26"/>
        <v>0</v>
      </c>
      <c r="AE67" s="349">
        <f t="shared" si="27"/>
        <v>0</v>
      </c>
      <c r="AF67" s="349">
        <f t="shared" si="28"/>
        <v>0</v>
      </c>
      <c r="AG67" s="349">
        <f t="shared" si="29"/>
        <v>0</v>
      </c>
      <c r="AH67" s="349">
        <f t="shared" si="30"/>
        <v>0</v>
      </c>
    </row>
    <row r="68" spans="1:34" ht="11.25">
      <c r="A68" s="348">
        <v>600</v>
      </c>
      <c r="B68" s="348" t="s">
        <v>154</v>
      </c>
      <c r="C68" s="349" t="s">
        <v>155</v>
      </c>
      <c r="D68" s="349">
        <f t="shared" si="0"/>
        <v>0</v>
      </c>
      <c r="E68" s="349">
        <f t="shared" si="1"/>
        <v>0</v>
      </c>
      <c r="F68" s="349">
        <f t="shared" si="2"/>
        <v>0</v>
      </c>
      <c r="G68" s="349">
        <f t="shared" si="3"/>
        <v>0</v>
      </c>
      <c r="H68" s="349">
        <f t="shared" si="4"/>
        <v>0</v>
      </c>
      <c r="I68" s="349">
        <f t="shared" si="5"/>
        <v>0</v>
      </c>
      <c r="J68" s="349">
        <f t="shared" si="6"/>
        <v>0</v>
      </c>
      <c r="K68" s="349">
        <f t="shared" si="7"/>
        <v>0</v>
      </c>
      <c r="L68" s="349">
        <f t="shared" si="8"/>
        <v>0</v>
      </c>
      <c r="M68" s="349">
        <f t="shared" si="9"/>
        <v>0</v>
      </c>
      <c r="N68" s="349">
        <f t="shared" si="10"/>
        <v>0</v>
      </c>
      <c r="O68" s="349">
        <f t="shared" si="11"/>
        <v>0</v>
      </c>
      <c r="P68" s="349">
        <f t="shared" si="12"/>
        <v>0</v>
      </c>
      <c r="Q68" s="349">
        <f t="shared" si="13"/>
        <v>0</v>
      </c>
      <c r="R68" s="349">
        <f t="shared" si="14"/>
        <v>0</v>
      </c>
      <c r="S68" s="349">
        <f t="shared" si="15"/>
        <v>0</v>
      </c>
      <c r="T68" s="349">
        <f t="shared" si="16"/>
        <v>0</v>
      </c>
      <c r="U68" s="349">
        <f t="shared" si="17"/>
        <v>0</v>
      </c>
      <c r="V68" s="349">
        <f t="shared" si="18"/>
        <v>0</v>
      </c>
      <c r="W68" s="349">
        <f t="shared" si="19"/>
        <v>0</v>
      </c>
      <c r="X68" s="349">
        <f t="shared" si="20"/>
        <v>0</v>
      </c>
      <c r="Y68" s="349">
        <f t="shared" si="21"/>
        <v>0</v>
      </c>
      <c r="Z68" s="349">
        <f t="shared" si="22"/>
        <v>0</v>
      </c>
      <c r="AA68" s="349">
        <f t="shared" si="23"/>
        <v>0</v>
      </c>
      <c r="AB68" s="349">
        <f t="shared" si="24"/>
        <v>0</v>
      </c>
      <c r="AC68" s="349">
        <f t="shared" si="25"/>
        <v>0</v>
      </c>
      <c r="AD68" s="349">
        <f t="shared" si="26"/>
        <v>0</v>
      </c>
      <c r="AE68" s="349">
        <f t="shared" si="27"/>
        <v>0</v>
      </c>
      <c r="AF68" s="349">
        <f t="shared" si="28"/>
        <v>0</v>
      </c>
      <c r="AG68" s="349">
        <f t="shared" si="29"/>
        <v>0</v>
      </c>
      <c r="AH68" s="349">
        <f t="shared" si="30"/>
        <v>0</v>
      </c>
    </row>
    <row r="69" spans="1:34" ht="11.25">
      <c r="A69" s="348">
        <v>610</v>
      </c>
      <c r="B69" s="348" t="s">
        <v>157</v>
      </c>
      <c r="C69" s="349" t="s">
        <v>451</v>
      </c>
      <c r="D69" s="349">
        <f t="shared" si="0"/>
        <v>0</v>
      </c>
      <c r="E69" s="349">
        <f t="shared" si="1"/>
        <v>0</v>
      </c>
      <c r="F69" s="349">
        <f t="shared" si="2"/>
        <v>0</v>
      </c>
      <c r="G69" s="349">
        <f t="shared" si="3"/>
        <v>0</v>
      </c>
      <c r="H69" s="349">
        <f t="shared" si="4"/>
        <v>0</v>
      </c>
      <c r="I69" s="349">
        <f t="shared" si="5"/>
        <v>0</v>
      </c>
      <c r="J69" s="349">
        <f t="shared" si="6"/>
        <v>0</v>
      </c>
      <c r="K69" s="349">
        <f t="shared" si="7"/>
        <v>0</v>
      </c>
      <c r="L69" s="349">
        <f t="shared" si="8"/>
        <v>0</v>
      </c>
      <c r="M69" s="349">
        <f t="shared" si="9"/>
        <v>0</v>
      </c>
      <c r="N69" s="349">
        <f t="shared" si="10"/>
        <v>0</v>
      </c>
      <c r="O69" s="349">
        <f t="shared" si="11"/>
        <v>0</v>
      </c>
      <c r="P69" s="349">
        <f t="shared" si="12"/>
        <v>0</v>
      </c>
      <c r="Q69" s="349">
        <f t="shared" si="13"/>
        <v>0</v>
      </c>
      <c r="R69" s="349">
        <f t="shared" si="14"/>
        <v>0</v>
      </c>
      <c r="S69" s="349">
        <f t="shared" si="15"/>
        <v>0</v>
      </c>
      <c r="T69" s="349">
        <f t="shared" si="16"/>
        <v>0</v>
      </c>
      <c r="U69" s="349">
        <f t="shared" si="17"/>
        <v>0</v>
      </c>
      <c r="V69" s="349">
        <f t="shared" si="18"/>
        <v>0</v>
      </c>
      <c r="W69" s="349">
        <f t="shared" si="19"/>
        <v>0</v>
      </c>
      <c r="X69" s="349">
        <f t="shared" si="20"/>
        <v>0</v>
      </c>
      <c r="Y69" s="349">
        <f t="shared" si="21"/>
        <v>0</v>
      </c>
      <c r="Z69" s="349">
        <f t="shared" si="22"/>
        <v>0</v>
      </c>
      <c r="AA69" s="349">
        <f t="shared" si="23"/>
        <v>0</v>
      </c>
      <c r="AB69" s="349">
        <f t="shared" si="24"/>
        <v>0</v>
      </c>
      <c r="AC69" s="349">
        <f t="shared" si="25"/>
        <v>0</v>
      </c>
      <c r="AD69" s="349">
        <f t="shared" si="26"/>
        <v>0</v>
      </c>
      <c r="AE69" s="349">
        <f t="shared" si="27"/>
        <v>0</v>
      </c>
      <c r="AF69" s="349">
        <f t="shared" si="28"/>
        <v>0</v>
      </c>
      <c r="AG69" s="349">
        <f t="shared" si="29"/>
        <v>0</v>
      </c>
      <c r="AH69" s="349">
        <f t="shared" si="30"/>
        <v>0</v>
      </c>
    </row>
    <row r="70" spans="1:34" ht="11.25">
      <c r="A70" s="348">
        <v>620</v>
      </c>
      <c r="B70" s="348" t="s">
        <v>160</v>
      </c>
      <c r="C70" s="349" t="s">
        <v>452</v>
      </c>
      <c r="D70" s="349">
        <f t="shared" si="0"/>
        <v>0</v>
      </c>
      <c r="E70" s="349">
        <f t="shared" si="1"/>
        <v>0</v>
      </c>
      <c r="F70" s="349">
        <f t="shared" si="2"/>
        <v>0</v>
      </c>
      <c r="G70" s="349">
        <f t="shared" si="3"/>
        <v>0</v>
      </c>
      <c r="H70" s="349">
        <f t="shared" si="4"/>
        <v>0</v>
      </c>
      <c r="I70" s="349">
        <f t="shared" si="5"/>
        <v>0</v>
      </c>
      <c r="J70" s="349">
        <f t="shared" si="6"/>
        <v>0</v>
      </c>
      <c r="K70" s="349">
        <f t="shared" si="7"/>
        <v>0</v>
      </c>
      <c r="L70" s="349">
        <f t="shared" si="8"/>
        <v>0</v>
      </c>
      <c r="M70" s="349">
        <f t="shared" si="9"/>
        <v>0</v>
      </c>
      <c r="N70" s="349">
        <f t="shared" si="10"/>
        <v>0</v>
      </c>
      <c r="O70" s="349">
        <f t="shared" si="11"/>
        <v>0</v>
      </c>
      <c r="P70" s="349">
        <f t="shared" si="12"/>
        <v>0</v>
      </c>
      <c r="Q70" s="349">
        <f t="shared" si="13"/>
        <v>0</v>
      </c>
      <c r="R70" s="349">
        <f t="shared" si="14"/>
        <v>0</v>
      </c>
      <c r="S70" s="349">
        <f t="shared" si="15"/>
        <v>0</v>
      </c>
      <c r="T70" s="349">
        <f t="shared" si="16"/>
        <v>0</v>
      </c>
      <c r="U70" s="349">
        <f t="shared" si="17"/>
        <v>0</v>
      </c>
      <c r="V70" s="349">
        <f t="shared" si="18"/>
        <v>0</v>
      </c>
      <c r="W70" s="349">
        <f t="shared" si="19"/>
        <v>0</v>
      </c>
      <c r="X70" s="349">
        <f t="shared" si="20"/>
        <v>0</v>
      </c>
      <c r="Y70" s="349">
        <f t="shared" si="21"/>
        <v>0</v>
      </c>
      <c r="Z70" s="349">
        <f t="shared" si="22"/>
        <v>0</v>
      </c>
      <c r="AA70" s="349">
        <f t="shared" si="23"/>
        <v>0</v>
      </c>
      <c r="AB70" s="349">
        <f t="shared" si="24"/>
        <v>0</v>
      </c>
      <c r="AC70" s="349">
        <f t="shared" si="25"/>
        <v>0</v>
      </c>
      <c r="AD70" s="349">
        <f t="shared" si="26"/>
        <v>0</v>
      </c>
      <c r="AE70" s="349">
        <f t="shared" si="27"/>
        <v>0</v>
      </c>
      <c r="AF70" s="349">
        <f t="shared" si="28"/>
        <v>0</v>
      </c>
      <c r="AG70" s="349">
        <f t="shared" si="29"/>
        <v>0</v>
      </c>
      <c r="AH70" s="349">
        <f t="shared" si="30"/>
        <v>0</v>
      </c>
    </row>
    <row r="71" spans="1:34" ht="11.25">
      <c r="A71" s="348">
        <v>630</v>
      </c>
      <c r="B71" s="348" t="s">
        <v>163</v>
      </c>
      <c r="C71" s="349" t="s">
        <v>164</v>
      </c>
      <c r="D71" s="349">
        <f t="shared" si="0"/>
        <v>0</v>
      </c>
      <c r="E71" s="349">
        <f t="shared" si="1"/>
        <v>0</v>
      </c>
      <c r="F71" s="349">
        <f t="shared" si="2"/>
        <v>0</v>
      </c>
      <c r="G71" s="349">
        <f t="shared" si="3"/>
        <v>0</v>
      </c>
      <c r="H71" s="349">
        <f t="shared" si="4"/>
        <v>0</v>
      </c>
      <c r="I71" s="349">
        <f t="shared" si="5"/>
        <v>0</v>
      </c>
      <c r="J71" s="349">
        <f t="shared" si="6"/>
        <v>0</v>
      </c>
      <c r="K71" s="349">
        <f t="shared" si="7"/>
        <v>0</v>
      </c>
      <c r="L71" s="349">
        <f t="shared" si="8"/>
        <v>0</v>
      </c>
      <c r="M71" s="349">
        <f t="shared" si="9"/>
        <v>0</v>
      </c>
      <c r="N71" s="349">
        <f t="shared" si="10"/>
        <v>0</v>
      </c>
      <c r="O71" s="349">
        <f t="shared" si="11"/>
        <v>0</v>
      </c>
      <c r="P71" s="349">
        <f t="shared" si="12"/>
        <v>0</v>
      </c>
      <c r="Q71" s="349">
        <f t="shared" si="13"/>
        <v>0</v>
      </c>
      <c r="R71" s="349">
        <f t="shared" si="14"/>
        <v>0</v>
      </c>
      <c r="S71" s="349">
        <f t="shared" si="15"/>
        <v>0</v>
      </c>
      <c r="T71" s="349">
        <f t="shared" si="16"/>
        <v>0</v>
      </c>
      <c r="U71" s="349">
        <f t="shared" si="17"/>
        <v>0</v>
      </c>
      <c r="V71" s="349">
        <f t="shared" si="18"/>
        <v>0</v>
      </c>
      <c r="W71" s="349">
        <f t="shared" si="19"/>
        <v>0</v>
      </c>
      <c r="X71" s="349">
        <f t="shared" si="20"/>
        <v>0</v>
      </c>
      <c r="Y71" s="349">
        <f t="shared" si="21"/>
        <v>0</v>
      </c>
      <c r="Z71" s="349">
        <f t="shared" si="22"/>
        <v>0</v>
      </c>
      <c r="AA71" s="349">
        <f t="shared" si="23"/>
        <v>0</v>
      </c>
      <c r="AB71" s="349">
        <f t="shared" si="24"/>
        <v>0</v>
      </c>
      <c r="AC71" s="349">
        <f t="shared" si="25"/>
        <v>0</v>
      </c>
      <c r="AD71" s="349">
        <f t="shared" si="26"/>
        <v>0</v>
      </c>
      <c r="AE71" s="349">
        <f t="shared" si="27"/>
        <v>0</v>
      </c>
      <c r="AF71" s="349">
        <f t="shared" si="28"/>
        <v>0</v>
      </c>
      <c r="AG71" s="349">
        <f t="shared" si="29"/>
        <v>0</v>
      </c>
      <c r="AH71" s="349">
        <f t="shared" si="30"/>
        <v>0</v>
      </c>
    </row>
    <row r="72" spans="1:34" ht="11.25">
      <c r="A72" s="348">
        <v>640</v>
      </c>
      <c r="B72" s="348" t="s">
        <v>166</v>
      </c>
      <c r="C72" s="349" t="s">
        <v>167</v>
      </c>
      <c r="D72" s="349">
        <f t="shared" si="0"/>
        <v>0</v>
      </c>
      <c r="E72" s="349">
        <f t="shared" si="1"/>
        <v>0</v>
      </c>
      <c r="F72" s="349">
        <f t="shared" si="2"/>
        <v>0</v>
      </c>
      <c r="G72" s="349">
        <f t="shared" si="3"/>
        <v>0</v>
      </c>
      <c r="H72" s="349">
        <f t="shared" si="4"/>
        <v>0</v>
      </c>
      <c r="I72" s="349">
        <f t="shared" si="5"/>
        <v>0</v>
      </c>
      <c r="J72" s="349">
        <f t="shared" si="6"/>
        <v>0</v>
      </c>
      <c r="K72" s="349">
        <f t="shared" si="7"/>
        <v>0</v>
      </c>
      <c r="L72" s="349">
        <f t="shared" si="8"/>
        <v>0</v>
      </c>
      <c r="M72" s="349">
        <f t="shared" si="9"/>
        <v>0</v>
      </c>
      <c r="N72" s="349">
        <f t="shared" si="10"/>
        <v>0</v>
      </c>
      <c r="O72" s="349">
        <f t="shared" si="11"/>
        <v>0</v>
      </c>
      <c r="P72" s="349">
        <f t="shared" si="12"/>
        <v>0</v>
      </c>
      <c r="Q72" s="349">
        <f t="shared" si="13"/>
        <v>0</v>
      </c>
      <c r="R72" s="349">
        <f t="shared" si="14"/>
        <v>0</v>
      </c>
      <c r="S72" s="349">
        <f t="shared" si="15"/>
        <v>0</v>
      </c>
      <c r="T72" s="349">
        <f t="shared" si="16"/>
        <v>0</v>
      </c>
      <c r="U72" s="349">
        <f t="shared" si="17"/>
        <v>0</v>
      </c>
      <c r="V72" s="349">
        <f t="shared" si="18"/>
        <v>0</v>
      </c>
      <c r="W72" s="349">
        <f t="shared" si="19"/>
        <v>0</v>
      </c>
      <c r="X72" s="349">
        <f t="shared" si="20"/>
        <v>0</v>
      </c>
      <c r="Y72" s="349">
        <f t="shared" si="21"/>
        <v>0</v>
      </c>
      <c r="Z72" s="349">
        <f t="shared" si="22"/>
        <v>0</v>
      </c>
      <c r="AA72" s="349">
        <f t="shared" si="23"/>
        <v>0</v>
      </c>
      <c r="AB72" s="349">
        <f t="shared" si="24"/>
        <v>0</v>
      </c>
      <c r="AC72" s="349">
        <f t="shared" si="25"/>
        <v>0</v>
      </c>
      <c r="AD72" s="349">
        <f t="shared" si="26"/>
        <v>0</v>
      </c>
      <c r="AE72" s="349">
        <f t="shared" si="27"/>
        <v>0</v>
      </c>
      <c r="AF72" s="349">
        <f t="shared" si="28"/>
        <v>0</v>
      </c>
      <c r="AG72" s="349">
        <f t="shared" si="29"/>
        <v>0</v>
      </c>
      <c r="AH72" s="349">
        <f t="shared" si="30"/>
        <v>0</v>
      </c>
    </row>
    <row r="73" spans="1:34" ht="11.25">
      <c r="A73" s="348">
        <v>650</v>
      </c>
      <c r="B73" s="348" t="s">
        <v>169</v>
      </c>
      <c r="C73" s="349" t="s">
        <v>170</v>
      </c>
      <c r="D73" s="349">
        <f t="shared" si="0"/>
        <v>0</v>
      </c>
      <c r="E73" s="349">
        <f t="shared" si="1"/>
        <v>0</v>
      </c>
      <c r="F73" s="349">
        <f t="shared" si="2"/>
        <v>0</v>
      </c>
      <c r="G73" s="349">
        <f t="shared" si="3"/>
        <v>0</v>
      </c>
      <c r="H73" s="349">
        <f t="shared" si="4"/>
        <v>0</v>
      </c>
      <c r="I73" s="349">
        <f t="shared" si="5"/>
        <v>0</v>
      </c>
      <c r="J73" s="349">
        <f t="shared" si="6"/>
        <v>0</v>
      </c>
      <c r="K73" s="349">
        <f t="shared" si="7"/>
        <v>0</v>
      </c>
      <c r="L73" s="349">
        <f t="shared" si="8"/>
        <v>0</v>
      </c>
      <c r="M73" s="349">
        <f t="shared" si="9"/>
        <v>0</v>
      </c>
      <c r="N73" s="349">
        <f t="shared" si="10"/>
        <v>0</v>
      </c>
      <c r="O73" s="349">
        <f t="shared" si="11"/>
        <v>0</v>
      </c>
      <c r="P73" s="349">
        <f t="shared" si="12"/>
        <v>0</v>
      </c>
      <c r="Q73" s="349">
        <f t="shared" si="13"/>
        <v>0</v>
      </c>
      <c r="R73" s="349">
        <f t="shared" si="14"/>
        <v>0</v>
      </c>
      <c r="S73" s="349">
        <f t="shared" si="15"/>
        <v>0</v>
      </c>
      <c r="T73" s="349">
        <f t="shared" si="16"/>
        <v>0</v>
      </c>
      <c r="U73" s="349">
        <f t="shared" si="17"/>
        <v>0</v>
      </c>
      <c r="V73" s="349">
        <f t="shared" si="18"/>
        <v>0</v>
      </c>
      <c r="W73" s="349">
        <f t="shared" si="19"/>
        <v>0</v>
      </c>
      <c r="X73" s="349">
        <f t="shared" si="20"/>
        <v>0</v>
      </c>
      <c r="Y73" s="349">
        <f t="shared" si="21"/>
        <v>0</v>
      </c>
      <c r="Z73" s="349">
        <f t="shared" si="22"/>
        <v>0</v>
      </c>
      <c r="AA73" s="349">
        <f t="shared" si="23"/>
        <v>0</v>
      </c>
      <c r="AB73" s="349">
        <f t="shared" si="24"/>
        <v>0</v>
      </c>
      <c r="AC73" s="349">
        <f t="shared" si="25"/>
        <v>0</v>
      </c>
      <c r="AD73" s="349">
        <f t="shared" si="26"/>
        <v>0</v>
      </c>
      <c r="AE73" s="349">
        <f t="shared" si="27"/>
        <v>0</v>
      </c>
      <c r="AF73" s="349">
        <f t="shared" si="28"/>
        <v>0</v>
      </c>
      <c r="AG73" s="349">
        <f t="shared" si="29"/>
        <v>0</v>
      </c>
      <c r="AH73" s="349">
        <f t="shared" si="30"/>
        <v>0</v>
      </c>
    </row>
    <row r="74" spans="1:34" ht="11.25">
      <c r="A74" s="348">
        <v>660</v>
      </c>
      <c r="B74" s="348">
        <v>12</v>
      </c>
      <c r="C74" s="349" t="s">
        <v>172</v>
      </c>
      <c r="D74" s="349">
        <f t="shared" si="0"/>
        <v>0</v>
      </c>
      <c r="E74" s="349">
        <f t="shared" si="1"/>
        <v>0</v>
      </c>
      <c r="F74" s="349">
        <f t="shared" si="2"/>
        <v>0</v>
      </c>
      <c r="G74" s="349">
        <f t="shared" si="3"/>
        <v>0</v>
      </c>
      <c r="H74" s="349">
        <f t="shared" si="4"/>
        <v>0</v>
      </c>
      <c r="I74" s="349">
        <f t="shared" si="5"/>
        <v>0</v>
      </c>
      <c r="J74" s="349">
        <f t="shared" si="6"/>
        <v>0</v>
      </c>
      <c r="K74" s="349">
        <f t="shared" si="7"/>
        <v>0</v>
      </c>
      <c r="L74" s="349">
        <f t="shared" si="8"/>
        <v>0</v>
      </c>
      <c r="M74" s="349">
        <f t="shared" si="9"/>
        <v>0</v>
      </c>
      <c r="N74" s="349">
        <f t="shared" si="10"/>
        <v>0</v>
      </c>
      <c r="O74" s="349">
        <f t="shared" si="11"/>
        <v>0</v>
      </c>
      <c r="P74" s="349">
        <f t="shared" si="12"/>
        <v>0</v>
      </c>
      <c r="Q74" s="349">
        <f t="shared" si="13"/>
        <v>0</v>
      </c>
      <c r="R74" s="349">
        <f t="shared" si="14"/>
        <v>0</v>
      </c>
      <c r="S74" s="349">
        <f t="shared" si="15"/>
        <v>0</v>
      </c>
      <c r="T74" s="349">
        <f t="shared" si="16"/>
        <v>0</v>
      </c>
      <c r="U74" s="349">
        <f t="shared" si="17"/>
        <v>0</v>
      </c>
      <c r="V74" s="349">
        <f t="shared" si="18"/>
        <v>0</v>
      </c>
      <c r="W74" s="349">
        <f t="shared" si="19"/>
        <v>0</v>
      </c>
      <c r="X74" s="349">
        <f t="shared" si="20"/>
        <v>0</v>
      </c>
      <c r="Y74" s="349">
        <f t="shared" si="21"/>
        <v>0</v>
      </c>
      <c r="Z74" s="349">
        <f t="shared" si="22"/>
        <v>0</v>
      </c>
      <c r="AA74" s="349">
        <f t="shared" si="23"/>
        <v>0</v>
      </c>
      <c r="AB74" s="349">
        <f t="shared" si="24"/>
        <v>0</v>
      </c>
      <c r="AC74" s="349">
        <f t="shared" si="25"/>
        <v>0</v>
      </c>
      <c r="AD74" s="349">
        <f t="shared" si="26"/>
        <v>0</v>
      </c>
      <c r="AE74" s="349">
        <f t="shared" si="27"/>
        <v>0</v>
      </c>
      <c r="AF74" s="349">
        <f t="shared" si="28"/>
        <v>0</v>
      </c>
      <c r="AG74" s="349">
        <f t="shared" si="29"/>
        <v>0</v>
      </c>
      <c r="AH74" s="349">
        <f t="shared" si="30"/>
        <v>0</v>
      </c>
    </row>
    <row r="75" spans="1:34" ht="11.25">
      <c r="A75" s="348">
        <v>670</v>
      </c>
      <c r="B75" s="348" t="s">
        <v>173</v>
      </c>
      <c r="C75" s="349" t="s">
        <v>174</v>
      </c>
      <c r="D75" s="349">
        <f t="shared" si="0"/>
        <v>0</v>
      </c>
      <c r="E75" s="349">
        <f t="shared" si="1"/>
        <v>0</v>
      </c>
      <c r="F75" s="349">
        <f t="shared" si="2"/>
        <v>0</v>
      </c>
      <c r="G75" s="349">
        <f t="shared" si="3"/>
        <v>0</v>
      </c>
      <c r="H75" s="349">
        <f t="shared" si="4"/>
        <v>0</v>
      </c>
      <c r="I75" s="349">
        <f t="shared" si="5"/>
        <v>0</v>
      </c>
      <c r="J75" s="349">
        <f t="shared" si="6"/>
        <v>0</v>
      </c>
      <c r="K75" s="349">
        <f t="shared" si="7"/>
        <v>0</v>
      </c>
      <c r="L75" s="349">
        <f t="shared" si="8"/>
        <v>0</v>
      </c>
      <c r="M75" s="349">
        <f t="shared" si="9"/>
        <v>0</v>
      </c>
      <c r="N75" s="349">
        <f t="shared" si="10"/>
        <v>0</v>
      </c>
      <c r="O75" s="349">
        <f t="shared" si="11"/>
        <v>0</v>
      </c>
      <c r="P75" s="349">
        <f t="shared" si="12"/>
        <v>0</v>
      </c>
      <c r="Q75" s="349">
        <f t="shared" si="13"/>
        <v>0</v>
      </c>
      <c r="R75" s="349">
        <f t="shared" si="14"/>
        <v>0</v>
      </c>
      <c r="S75" s="349">
        <f t="shared" si="15"/>
        <v>0</v>
      </c>
      <c r="T75" s="349">
        <f t="shared" si="16"/>
        <v>0</v>
      </c>
      <c r="U75" s="349">
        <f t="shared" si="17"/>
        <v>0</v>
      </c>
      <c r="V75" s="349">
        <f t="shared" si="18"/>
        <v>0</v>
      </c>
      <c r="W75" s="349">
        <f t="shared" si="19"/>
        <v>0</v>
      </c>
      <c r="X75" s="349">
        <f t="shared" si="20"/>
        <v>0</v>
      </c>
      <c r="Y75" s="349">
        <f t="shared" si="21"/>
        <v>0</v>
      </c>
      <c r="Z75" s="349">
        <f t="shared" si="22"/>
        <v>0</v>
      </c>
      <c r="AA75" s="349">
        <f t="shared" si="23"/>
        <v>0</v>
      </c>
      <c r="AB75" s="349">
        <f t="shared" si="24"/>
        <v>0</v>
      </c>
      <c r="AC75" s="349">
        <f t="shared" si="25"/>
        <v>0</v>
      </c>
      <c r="AD75" s="349">
        <f t="shared" si="26"/>
        <v>0</v>
      </c>
      <c r="AE75" s="349">
        <f t="shared" si="27"/>
        <v>0</v>
      </c>
      <c r="AF75" s="349">
        <f t="shared" si="28"/>
        <v>0</v>
      </c>
      <c r="AG75" s="349">
        <f t="shared" si="29"/>
        <v>0</v>
      </c>
      <c r="AH75" s="349">
        <f t="shared" si="30"/>
        <v>0</v>
      </c>
    </row>
    <row r="76" spans="1:34" ht="11.25">
      <c r="A76" s="348">
        <v>680</v>
      </c>
      <c r="B76" s="348" t="s">
        <v>176</v>
      </c>
      <c r="C76" s="349" t="s">
        <v>177</v>
      </c>
      <c r="D76" s="349">
        <f t="shared" si="0"/>
        <v>0</v>
      </c>
      <c r="E76" s="349">
        <f t="shared" si="1"/>
        <v>0</v>
      </c>
      <c r="F76" s="349">
        <f t="shared" si="2"/>
        <v>0</v>
      </c>
      <c r="G76" s="349">
        <f t="shared" si="3"/>
        <v>0</v>
      </c>
      <c r="H76" s="349">
        <f t="shared" si="4"/>
        <v>0</v>
      </c>
      <c r="I76" s="349">
        <f t="shared" si="5"/>
        <v>0</v>
      </c>
      <c r="J76" s="349">
        <f t="shared" si="6"/>
        <v>0</v>
      </c>
      <c r="K76" s="349">
        <f t="shared" si="7"/>
        <v>0</v>
      </c>
      <c r="L76" s="349">
        <f t="shared" si="8"/>
        <v>0</v>
      </c>
      <c r="M76" s="349">
        <f t="shared" si="9"/>
        <v>0</v>
      </c>
      <c r="N76" s="349">
        <f t="shared" si="10"/>
        <v>0</v>
      </c>
      <c r="O76" s="349">
        <f t="shared" si="11"/>
        <v>0</v>
      </c>
      <c r="P76" s="349">
        <f t="shared" si="12"/>
        <v>0</v>
      </c>
      <c r="Q76" s="349">
        <f t="shared" si="13"/>
        <v>0</v>
      </c>
      <c r="R76" s="349">
        <f t="shared" si="14"/>
        <v>0</v>
      </c>
      <c r="S76" s="349">
        <f t="shared" si="15"/>
        <v>0</v>
      </c>
      <c r="T76" s="349">
        <f t="shared" si="16"/>
        <v>0</v>
      </c>
      <c r="U76" s="349">
        <f t="shared" si="17"/>
        <v>0</v>
      </c>
      <c r="V76" s="349">
        <f t="shared" si="18"/>
        <v>0</v>
      </c>
      <c r="W76" s="349">
        <f t="shared" si="19"/>
        <v>0</v>
      </c>
      <c r="X76" s="349">
        <f t="shared" si="20"/>
        <v>0</v>
      </c>
      <c r="Y76" s="349">
        <f t="shared" si="21"/>
        <v>0</v>
      </c>
      <c r="Z76" s="349">
        <f t="shared" si="22"/>
        <v>0</v>
      </c>
      <c r="AA76" s="349">
        <f t="shared" si="23"/>
        <v>0</v>
      </c>
      <c r="AB76" s="349">
        <f t="shared" si="24"/>
        <v>0</v>
      </c>
      <c r="AC76" s="349">
        <f t="shared" si="25"/>
        <v>0</v>
      </c>
      <c r="AD76" s="349">
        <f t="shared" si="26"/>
        <v>0</v>
      </c>
      <c r="AE76" s="349">
        <f t="shared" si="27"/>
        <v>0</v>
      </c>
      <c r="AF76" s="349">
        <f t="shared" si="28"/>
        <v>0</v>
      </c>
      <c r="AG76" s="349">
        <f t="shared" si="29"/>
        <v>0</v>
      </c>
      <c r="AH76" s="349">
        <f t="shared" si="30"/>
        <v>0</v>
      </c>
    </row>
    <row r="77" spans="1:34" ht="11.25">
      <c r="A77" s="348">
        <v>690</v>
      </c>
      <c r="B77" s="348" t="s">
        <v>179</v>
      </c>
      <c r="C77" s="349" t="s">
        <v>180</v>
      </c>
      <c r="D77" s="349">
        <f t="shared" si="0"/>
        <v>0</v>
      </c>
      <c r="E77" s="349">
        <f t="shared" si="1"/>
        <v>0</v>
      </c>
      <c r="F77" s="349">
        <f t="shared" si="2"/>
        <v>0</v>
      </c>
      <c r="G77" s="349">
        <f t="shared" si="3"/>
        <v>0</v>
      </c>
      <c r="H77" s="349">
        <f t="shared" si="4"/>
        <v>0</v>
      </c>
      <c r="I77" s="349">
        <f t="shared" si="5"/>
        <v>0</v>
      </c>
      <c r="J77" s="349">
        <f t="shared" si="6"/>
        <v>0</v>
      </c>
      <c r="K77" s="349">
        <f t="shared" si="7"/>
        <v>0</v>
      </c>
      <c r="L77" s="349">
        <f t="shared" si="8"/>
        <v>0</v>
      </c>
      <c r="M77" s="349">
        <f t="shared" si="9"/>
        <v>0</v>
      </c>
      <c r="N77" s="349">
        <f t="shared" si="10"/>
        <v>0</v>
      </c>
      <c r="O77" s="349">
        <f t="shared" si="11"/>
        <v>0</v>
      </c>
      <c r="P77" s="349">
        <f t="shared" si="12"/>
        <v>0</v>
      </c>
      <c r="Q77" s="349">
        <f t="shared" si="13"/>
        <v>0</v>
      </c>
      <c r="R77" s="349">
        <f t="shared" si="14"/>
        <v>0</v>
      </c>
      <c r="S77" s="349">
        <f t="shared" si="15"/>
        <v>0</v>
      </c>
      <c r="T77" s="349">
        <f t="shared" si="16"/>
        <v>0</v>
      </c>
      <c r="U77" s="349">
        <f t="shared" si="17"/>
        <v>0</v>
      </c>
      <c r="V77" s="349">
        <f t="shared" si="18"/>
        <v>0</v>
      </c>
      <c r="W77" s="349">
        <f t="shared" si="19"/>
        <v>0</v>
      </c>
      <c r="X77" s="349">
        <f t="shared" si="20"/>
        <v>0</v>
      </c>
      <c r="Y77" s="349">
        <f t="shared" si="21"/>
        <v>0</v>
      </c>
      <c r="Z77" s="349">
        <f t="shared" si="22"/>
        <v>0</v>
      </c>
      <c r="AA77" s="349">
        <f t="shared" si="23"/>
        <v>0</v>
      </c>
      <c r="AB77" s="349">
        <f t="shared" si="24"/>
        <v>0</v>
      </c>
      <c r="AC77" s="349">
        <f t="shared" si="25"/>
        <v>0</v>
      </c>
      <c r="AD77" s="349">
        <f t="shared" si="26"/>
        <v>0</v>
      </c>
      <c r="AE77" s="349">
        <f t="shared" si="27"/>
        <v>0</v>
      </c>
      <c r="AF77" s="349">
        <f t="shared" si="28"/>
        <v>0</v>
      </c>
      <c r="AG77" s="349">
        <f t="shared" si="29"/>
        <v>0</v>
      </c>
      <c r="AH77" s="349">
        <f t="shared" si="30"/>
        <v>0</v>
      </c>
    </row>
    <row r="78" spans="1:34" ht="11.25">
      <c r="A78" s="348">
        <v>700</v>
      </c>
      <c r="B78" s="348" t="s">
        <v>182</v>
      </c>
      <c r="C78" s="349" t="s">
        <v>183</v>
      </c>
      <c r="D78" s="349">
        <f t="shared" si="0"/>
        <v>0</v>
      </c>
      <c r="E78" s="349">
        <f t="shared" si="1"/>
        <v>0</v>
      </c>
      <c r="F78" s="349">
        <f t="shared" si="2"/>
        <v>0</v>
      </c>
      <c r="G78" s="349">
        <f t="shared" si="3"/>
        <v>0</v>
      </c>
      <c r="H78" s="349">
        <f t="shared" si="4"/>
        <v>0</v>
      </c>
      <c r="I78" s="349">
        <f t="shared" si="5"/>
        <v>0</v>
      </c>
      <c r="J78" s="349">
        <f t="shared" si="6"/>
        <v>0</v>
      </c>
      <c r="K78" s="349">
        <f t="shared" si="7"/>
        <v>0</v>
      </c>
      <c r="L78" s="349">
        <f t="shared" si="8"/>
        <v>0</v>
      </c>
      <c r="M78" s="349">
        <f t="shared" si="9"/>
        <v>0</v>
      </c>
      <c r="N78" s="349">
        <f t="shared" si="10"/>
        <v>0</v>
      </c>
      <c r="O78" s="349">
        <f t="shared" si="11"/>
        <v>0</v>
      </c>
      <c r="P78" s="349">
        <f t="shared" si="12"/>
        <v>0</v>
      </c>
      <c r="Q78" s="349">
        <f t="shared" si="13"/>
        <v>0</v>
      </c>
      <c r="R78" s="349">
        <f t="shared" si="14"/>
        <v>0</v>
      </c>
      <c r="S78" s="349">
        <f t="shared" si="15"/>
        <v>0</v>
      </c>
      <c r="T78" s="349">
        <f t="shared" si="16"/>
        <v>0</v>
      </c>
      <c r="U78" s="349">
        <f t="shared" si="17"/>
        <v>0</v>
      </c>
      <c r="V78" s="349">
        <f t="shared" si="18"/>
        <v>0</v>
      </c>
      <c r="W78" s="349">
        <f t="shared" si="19"/>
        <v>0</v>
      </c>
      <c r="X78" s="349">
        <f t="shared" si="20"/>
        <v>0</v>
      </c>
      <c r="Y78" s="349">
        <f t="shared" si="21"/>
        <v>0</v>
      </c>
      <c r="Z78" s="349">
        <f t="shared" si="22"/>
        <v>0</v>
      </c>
      <c r="AA78" s="349">
        <f t="shared" si="23"/>
        <v>0</v>
      </c>
      <c r="AB78" s="349">
        <f t="shared" si="24"/>
        <v>0</v>
      </c>
      <c r="AC78" s="349">
        <f t="shared" si="25"/>
        <v>0</v>
      </c>
      <c r="AD78" s="349">
        <f t="shared" si="26"/>
        <v>0</v>
      </c>
      <c r="AE78" s="349">
        <f t="shared" si="27"/>
        <v>0</v>
      </c>
      <c r="AF78" s="349">
        <f t="shared" si="28"/>
        <v>0</v>
      </c>
      <c r="AG78" s="349">
        <f t="shared" si="29"/>
        <v>0</v>
      </c>
      <c r="AH78" s="349">
        <f t="shared" si="30"/>
        <v>0</v>
      </c>
    </row>
    <row r="79" spans="1:34" ht="11.25">
      <c r="A79" s="348">
        <v>710</v>
      </c>
      <c r="B79" s="348" t="s">
        <v>185</v>
      </c>
      <c r="C79" s="349" t="s">
        <v>186</v>
      </c>
      <c r="D79" s="349">
        <f t="shared" si="0"/>
        <v>0</v>
      </c>
      <c r="E79" s="349">
        <f t="shared" si="1"/>
        <v>0</v>
      </c>
      <c r="F79" s="349">
        <f t="shared" si="2"/>
        <v>0</v>
      </c>
      <c r="G79" s="349">
        <f t="shared" si="3"/>
        <v>0</v>
      </c>
      <c r="H79" s="349">
        <f t="shared" si="4"/>
        <v>0</v>
      </c>
      <c r="I79" s="349">
        <f t="shared" si="5"/>
        <v>0</v>
      </c>
      <c r="J79" s="349">
        <f t="shared" si="6"/>
        <v>0</v>
      </c>
      <c r="K79" s="349">
        <f t="shared" si="7"/>
        <v>0</v>
      </c>
      <c r="L79" s="349">
        <f t="shared" si="8"/>
        <v>0</v>
      </c>
      <c r="M79" s="349">
        <f t="shared" si="9"/>
        <v>0</v>
      </c>
      <c r="N79" s="349">
        <f t="shared" si="10"/>
        <v>0</v>
      </c>
      <c r="O79" s="349">
        <f t="shared" si="11"/>
        <v>0</v>
      </c>
      <c r="P79" s="349">
        <f t="shared" si="12"/>
        <v>0</v>
      </c>
      <c r="Q79" s="349">
        <f t="shared" si="13"/>
        <v>0</v>
      </c>
      <c r="R79" s="349">
        <f t="shared" si="14"/>
        <v>0</v>
      </c>
      <c r="S79" s="349">
        <f t="shared" si="15"/>
        <v>0</v>
      </c>
      <c r="T79" s="349">
        <f t="shared" si="16"/>
        <v>0</v>
      </c>
      <c r="U79" s="349">
        <f t="shared" si="17"/>
        <v>0</v>
      </c>
      <c r="V79" s="349">
        <f t="shared" si="18"/>
        <v>0</v>
      </c>
      <c r="W79" s="349">
        <f t="shared" si="19"/>
        <v>0</v>
      </c>
      <c r="X79" s="349">
        <f t="shared" si="20"/>
        <v>0</v>
      </c>
      <c r="Y79" s="349">
        <f t="shared" si="21"/>
        <v>0</v>
      </c>
      <c r="Z79" s="349">
        <f t="shared" si="22"/>
        <v>0</v>
      </c>
      <c r="AA79" s="349">
        <f t="shared" si="23"/>
        <v>0</v>
      </c>
      <c r="AB79" s="349">
        <f t="shared" si="24"/>
        <v>0</v>
      </c>
      <c r="AC79" s="349">
        <f t="shared" si="25"/>
        <v>0</v>
      </c>
      <c r="AD79" s="349">
        <f t="shared" si="26"/>
        <v>0</v>
      </c>
      <c r="AE79" s="349">
        <f t="shared" si="27"/>
        <v>0</v>
      </c>
      <c r="AF79" s="349">
        <f t="shared" si="28"/>
        <v>0</v>
      </c>
      <c r="AG79" s="349">
        <f t="shared" si="29"/>
        <v>0</v>
      </c>
      <c r="AH79" s="349">
        <f t="shared" si="30"/>
        <v>0</v>
      </c>
    </row>
    <row r="80" spans="1:34" ht="11.25">
      <c r="A80" s="348">
        <v>720</v>
      </c>
      <c r="B80" s="348" t="s">
        <v>187</v>
      </c>
      <c r="C80" s="349" t="s">
        <v>188</v>
      </c>
      <c r="D80" s="349">
        <f t="shared" si="0"/>
        <v>0</v>
      </c>
      <c r="E80" s="349">
        <f t="shared" si="1"/>
        <v>0</v>
      </c>
      <c r="F80" s="349">
        <f t="shared" si="2"/>
        <v>0</v>
      </c>
      <c r="G80" s="349">
        <f t="shared" si="3"/>
        <v>0</v>
      </c>
      <c r="H80" s="349">
        <f t="shared" si="4"/>
        <v>0</v>
      </c>
      <c r="I80" s="349">
        <f t="shared" si="5"/>
        <v>0</v>
      </c>
      <c r="J80" s="349">
        <f t="shared" si="6"/>
        <v>0</v>
      </c>
      <c r="K80" s="349">
        <f t="shared" si="7"/>
        <v>0</v>
      </c>
      <c r="L80" s="349">
        <f t="shared" si="8"/>
        <v>0</v>
      </c>
      <c r="M80" s="349">
        <f t="shared" si="9"/>
        <v>0</v>
      </c>
      <c r="N80" s="349">
        <f t="shared" si="10"/>
        <v>0</v>
      </c>
      <c r="O80" s="349">
        <f t="shared" si="11"/>
        <v>0</v>
      </c>
      <c r="P80" s="349">
        <f t="shared" si="12"/>
        <v>0</v>
      </c>
      <c r="Q80" s="349">
        <f t="shared" si="13"/>
        <v>0</v>
      </c>
      <c r="R80" s="349">
        <f t="shared" si="14"/>
        <v>0</v>
      </c>
      <c r="S80" s="349">
        <f t="shared" si="15"/>
        <v>0</v>
      </c>
      <c r="T80" s="349">
        <f t="shared" si="16"/>
        <v>0</v>
      </c>
      <c r="U80" s="349">
        <f t="shared" si="17"/>
        <v>0</v>
      </c>
      <c r="V80" s="349">
        <f t="shared" si="18"/>
        <v>0</v>
      </c>
      <c r="W80" s="349">
        <f t="shared" si="19"/>
        <v>0</v>
      </c>
      <c r="X80" s="349">
        <f t="shared" si="20"/>
        <v>0</v>
      </c>
      <c r="Y80" s="349">
        <f t="shared" si="21"/>
        <v>0</v>
      </c>
      <c r="Z80" s="349">
        <f t="shared" si="22"/>
        <v>0</v>
      </c>
      <c r="AA80" s="349">
        <f t="shared" si="23"/>
        <v>0</v>
      </c>
      <c r="AB80" s="349">
        <f t="shared" si="24"/>
        <v>0</v>
      </c>
      <c r="AC80" s="349">
        <f t="shared" si="25"/>
        <v>0</v>
      </c>
      <c r="AD80" s="349">
        <f t="shared" si="26"/>
        <v>0</v>
      </c>
      <c r="AE80" s="349">
        <f t="shared" si="27"/>
        <v>0</v>
      </c>
      <c r="AF80" s="349">
        <f t="shared" si="28"/>
        <v>0</v>
      </c>
      <c r="AG80" s="349">
        <f t="shared" si="29"/>
        <v>0</v>
      </c>
      <c r="AH80" s="349">
        <f t="shared" si="30"/>
        <v>0</v>
      </c>
    </row>
    <row r="81" spans="1:34" ht="11.25">
      <c r="A81" s="348">
        <v>730</v>
      </c>
      <c r="B81" s="348" t="s">
        <v>190</v>
      </c>
      <c r="C81" s="349" t="s">
        <v>191</v>
      </c>
      <c r="D81" s="349">
        <f t="shared" si="0"/>
        <v>0</v>
      </c>
      <c r="E81" s="349">
        <f t="shared" si="1"/>
        <v>0</v>
      </c>
      <c r="F81" s="349">
        <f t="shared" si="2"/>
        <v>0</v>
      </c>
      <c r="G81" s="349">
        <f t="shared" si="3"/>
        <v>0</v>
      </c>
      <c r="H81" s="349">
        <f t="shared" si="4"/>
        <v>0</v>
      </c>
      <c r="I81" s="349">
        <f t="shared" si="5"/>
        <v>0</v>
      </c>
      <c r="J81" s="349">
        <f t="shared" si="6"/>
        <v>0</v>
      </c>
      <c r="K81" s="349">
        <f t="shared" si="7"/>
        <v>0</v>
      </c>
      <c r="L81" s="349">
        <f t="shared" si="8"/>
        <v>0</v>
      </c>
      <c r="M81" s="349">
        <f t="shared" si="9"/>
        <v>0</v>
      </c>
      <c r="N81" s="349">
        <f t="shared" si="10"/>
        <v>0</v>
      </c>
      <c r="O81" s="349">
        <f t="shared" si="11"/>
        <v>0</v>
      </c>
      <c r="P81" s="349">
        <f t="shared" si="12"/>
        <v>0</v>
      </c>
      <c r="Q81" s="349">
        <f t="shared" si="13"/>
        <v>0</v>
      </c>
      <c r="R81" s="349">
        <f t="shared" si="14"/>
        <v>0</v>
      </c>
      <c r="S81" s="349">
        <f t="shared" si="15"/>
        <v>0</v>
      </c>
      <c r="T81" s="349">
        <f t="shared" si="16"/>
        <v>0</v>
      </c>
      <c r="U81" s="349">
        <f t="shared" si="17"/>
        <v>0</v>
      </c>
      <c r="V81" s="349">
        <f t="shared" si="18"/>
        <v>0</v>
      </c>
      <c r="W81" s="349">
        <f t="shared" si="19"/>
        <v>0</v>
      </c>
      <c r="X81" s="349">
        <f t="shared" si="20"/>
        <v>0</v>
      </c>
      <c r="Y81" s="349">
        <f t="shared" si="21"/>
        <v>0</v>
      </c>
      <c r="Z81" s="349">
        <f t="shared" si="22"/>
        <v>0</v>
      </c>
      <c r="AA81" s="349">
        <f t="shared" si="23"/>
        <v>0</v>
      </c>
      <c r="AB81" s="349">
        <f t="shared" si="24"/>
        <v>0</v>
      </c>
      <c r="AC81" s="349">
        <f t="shared" si="25"/>
        <v>0</v>
      </c>
      <c r="AD81" s="349">
        <f t="shared" si="26"/>
        <v>0</v>
      </c>
      <c r="AE81" s="349">
        <f t="shared" si="27"/>
        <v>0</v>
      </c>
      <c r="AF81" s="349">
        <f t="shared" si="28"/>
        <v>0</v>
      </c>
      <c r="AG81" s="349">
        <f t="shared" si="29"/>
        <v>0</v>
      </c>
      <c r="AH81" s="349">
        <f t="shared" si="30"/>
        <v>0</v>
      </c>
    </row>
    <row r="82" spans="1:34" ht="11.25">
      <c r="A82" s="348">
        <v>740</v>
      </c>
      <c r="B82" s="348" t="s">
        <v>193</v>
      </c>
      <c r="C82" s="349" t="s">
        <v>194</v>
      </c>
      <c r="D82" s="349">
        <f t="shared" si="0"/>
        <v>0</v>
      </c>
      <c r="E82" s="349">
        <f t="shared" si="1"/>
        <v>0</v>
      </c>
      <c r="F82" s="349">
        <f t="shared" si="2"/>
        <v>0</v>
      </c>
      <c r="G82" s="349">
        <f t="shared" si="3"/>
        <v>0</v>
      </c>
      <c r="H82" s="349">
        <f t="shared" si="4"/>
        <v>0</v>
      </c>
      <c r="I82" s="349">
        <f t="shared" si="5"/>
        <v>0</v>
      </c>
      <c r="J82" s="349">
        <f t="shared" si="6"/>
        <v>0</v>
      </c>
      <c r="K82" s="349">
        <f t="shared" si="7"/>
        <v>0</v>
      </c>
      <c r="L82" s="349">
        <f t="shared" si="8"/>
        <v>0</v>
      </c>
      <c r="M82" s="349">
        <f t="shared" si="9"/>
        <v>0</v>
      </c>
      <c r="N82" s="349">
        <f t="shared" si="10"/>
        <v>0</v>
      </c>
      <c r="O82" s="349">
        <f t="shared" si="11"/>
        <v>0</v>
      </c>
      <c r="P82" s="349">
        <f t="shared" si="12"/>
        <v>0</v>
      </c>
      <c r="Q82" s="349">
        <f t="shared" si="13"/>
        <v>0</v>
      </c>
      <c r="R82" s="349">
        <f t="shared" si="14"/>
        <v>0</v>
      </c>
      <c r="S82" s="349">
        <f t="shared" si="15"/>
        <v>0</v>
      </c>
      <c r="T82" s="349">
        <f t="shared" si="16"/>
        <v>0</v>
      </c>
      <c r="U82" s="349">
        <f t="shared" si="17"/>
        <v>0</v>
      </c>
      <c r="V82" s="349">
        <f t="shared" si="18"/>
        <v>0</v>
      </c>
      <c r="W82" s="349">
        <f t="shared" si="19"/>
        <v>0</v>
      </c>
      <c r="X82" s="349">
        <f t="shared" si="20"/>
        <v>0</v>
      </c>
      <c r="Y82" s="349">
        <f t="shared" si="21"/>
        <v>0</v>
      </c>
      <c r="Z82" s="349">
        <f t="shared" si="22"/>
        <v>0</v>
      </c>
      <c r="AA82" s="349">
        <f t="shared" si="23"/>
        <v>0</v>
      </c>
      <c r="AB82" s="349">
        <f t="shared" si="24"/>
        <v>0</v>
      </c>
      <c r="AC82" s="349">
        <f t="shared" si="25"/>
        <v>0</v>
      </c>
      <c r="AD82" s="349">
        <f t="shared" si="26"/>
        <v>0</v>
      </c>
      <c r="AE82" s="349">
        <f t="shared" si="27"/>
        <v>0</v>
      </c>
      <c r="AF82" s="349">
        <f t="shared" si="28"/>
        <v>0</v>
      </c>
      <c r="AG82" s="349">
        <f t="shared" si="29"/>
        <v>0</v>
      </c>
      <c r="AH82" s="349">
        <f t="shared" si="30"/>
        <v>0</v>
      </c>
    </row>
    <row r="83" spans="1:34" ht="11.25">
      <c r="A83" s="348">
        <v>750</v>
      </c>
      <c r="B83" s="348" t="s">
        <v>196</v>
      </c>
      <c r="C83" s="349" t="s">
        <v>197</v>
      </c>
      <c r="D83" s="349">
        <f t="shared" si="0"/>
        <v>0</v>
      </c>
      <c r="E83" s="349">
        <f t="shared" si="1"/>
        <v>0</v>
      </c>
      <c r="F83" s="349">
        <f t="shared" si="2"/>
        <v>0</v>
      </c>
      <c r="G83" s="349">
        <f t="shared" si="3"/>
        <v>0</v>
      </c>
      <c r="H83" s="349">
        <f t="shared" si="4"/>
        <v>0</v>
      </c>
      <c r="I83" s="349">
        <f t="shared" si="5"/>
        <v>0</v>
      </c>
      <c r="J83" s="349">
        <f t="shared" si="6"/>
        <v>0</v>
      </c>
      <c r="K83" s="349">
        <f t="shared" si="7"/>
        <v>0</v>
      </c>
      <c r="L83" s="349">
        <f t="shared" si="8"/>
        <v>0</v>
      </c>
      <c r="M83" s="349">
        <f t="shared" si="9"/>
        <v>0</v>
      </c>
      <c r="N83" s="349">
        <f t="shared" si="10"/>
        <v>0</v>
      </c>
      <c r="O83" s="349">
        <f t="shared" si="11"/>
        <v>0</v>
      </c>
      <c r="P83" s="349">
        <f t="shared" si="12"/>
        <v>0</v>
      </c>
      <c r="Q83" s="349">
        <f t="shared" si="13"/>
        <v>0</v>
      </c>
      <c r="R83" s="349">
        <f t="shared" si="14"/>
        <v>0</v>
      </c>
      <c r="S83" s="349">
        <f t="shared" si="15"/>
        <v>0</v>
      </c>
      <c r="T83" s="349">
        <f t="shared" si="16"/>
        <v>0</v>
      </c>
      <c r="U83" s="349">
        <f t="shared" si="17"/>
        <v>0</v>
      </c>
      <c r="V83" s="349">
        <f t="shared" si="18"/>
        <v>0</v>
      </c>
      <c r="W83" s="349">
        <f t="shared" si="19"/>
        <v>0</v>
      </c>
      <c r="X83" s="349">
        <f t="shared" si="20"/>
        <v>0</v>
      </c>
      <c r="Y83" s="349">
        <f t="shared" si="21"/>
        <v>0</v>
      </c>
      <c r="Z83" s="349">
        <f t="shared" si="22"/>
        <v>0</v>
      </c>
      <c r="AA83" s="349">
        <f t="shared" si="23"/>
        <v>0</v>
      </c>
      <c r="AB83" s="349">
        <f t="shared" si="24"/>
        <v>0</v>
      </c>
      <c r="AC83" s="349">
        <f t="shared" si="25"/>
        <v>0</v>
      </c>
      <c r="AD83" s="349">
        <f t="shared" si="26"/>
        <v>0</v>
      </c>
      <c r="AE83" s="349">
        <f t="shared" si="27"/>
        <v>0</v>
      </c>
      <c r="AF83" s="349">
        <f t="shared" si="28"/>
        <v>0</v>
      </c>
      <c r="AG83" s="349">
        <f t="shared" si="29"/>
        <v>0</v>
      </c>
      <c r="AH83" s="349">
        <f t="shared" si="30"/>
        <v>0</v>
      </c>
    </row>
    <row r="84" spans="1:34" ht="11.25">
      <c r="A84" s="348">
        <v>760</v>
      </c>
      <c r="B84" s="348" t="s">
        <v>199</v>
      </c>
      <c r="C84" s="349" t="s">
        <v>200</v>
      </c>
      <c r="D84" s="349">
        <f t="shared" si="0"/>
        <v>0</v>
      </c>
      <c r="E84" s="349">
        <f t="shared" si="1"/>
        <v>0</v>
      </c>
      <c r="F84" s="349">
        <f t="shared" si="2"/>
        <v>0</v>
      </c>
      <c r="G84" s="349">
        <f t="shared" si="3"/>
        <v>0</v>
      </c>
      <c r="H84" s="349">
        <f t="shared" si="4"/>
        <v>0</v>
      </c>
      <c r="I84" s="349">
        <f t="shared" si="5"/>
        <v>0</v>
      </c>
      <c r="J84" s="349">
        <f t="shared" si="6"/>
        <v>0</v>
      </c>
      <c r="K84" s="349">
        <f t="shared" si="7"/>
        <v>0</v>
      </c>
      <c r="L84" s="349">
        <f t="shared" si="8"/>
        <v>0</v>
      </c>
      <c r="M84" s="349">
        <f t="shared" si="9"/>
        <v>0</v>
      </c>
      <c r="N84" s="349">
        <f t="shared" si="10"/>
        <v>0</v>
      </c>
      <c r="O84" s="349">
        <f t="shared" si="11"/>
        <v>0</v>
      </c>
      <c r="P84" s="349">
        <f t="shared" si="12"/>
        <v>0</v>
      </c>
      <c r="Q84" s="349">
        <f t="shared" si="13"/>
        <v>0</v>
      </c>
      <c r="R84" s="349">
        <f t="shared" si="14"/>
        <v>0</v>
      </c>
      <c r="S84" s="349">
        <f t="shared" si="15"/>
        <v>0</v>
      </c>
      <c r="T84" s="349">
        <f t="shared" si="16"/>
        <v>0</v>
      </c>
      <c r="U84" s="349">
        <f t="shared" si="17"/>
        <v>0</v>
      </c>
      <c r="V84" s="349">
        <f t="shared" si="18"/>
        <v>0</v>
      </c>
      <c r="W84" s="349">
        <f t="shared" si="19"/>
        <v>0</v>
      </c>
      <c r="X84" s="349">
        <f t="shared" si="20"/>
        <v>0</v>
      </c>
      <c r="Y84" s="349">
        <f t="shared" si="21"/>
        <v>0</v>
      </c>
      <c r="Z84" s="349">
        <f t="shared" si="22"/>
        <v>0</v>
      </c>
      <c r="AA84" s="349">
        <f t="shared" si="23"/>
        <v>0</v>
      </c>
      <c r="AB84" s="349">
        <f t="shared" si="24"/>
        <v>0</v>
      </c>
      <c r="AC84" s="349">
        <f t="shared" si="25"/>
        <v>0</v>
      </c>
      <c r="AD84" s="349">
        <f t="shared" si="26"/>
        <v>0</v>
      </c>
      <c r="AE84" s="349">
        <f t="shared" si="27"/>
        <v>0</v>
      </c>
      <c r="AF84" s="349">
        <f t="shared" si="28"/>
        <v>0</v>
      </c>
      <c r="AG84" s="349">
        <f t="shared" si="29"/>
        <v>0</v>
      </c>
      <c r="AH84" s="349">
        <f t="shared" si="30"/>
        <v>0</v>
      </c>
    </row>
    <row r="85" spans="1:34" ht="11.25">
      <c r="A85" s="348">
        <v>761</v>
      </c>
      <c r="B85" s="348" t="s">
        <v>202</v>
      </c>
      <c r="C85" s="349" t="s">
        <v>203</v>
      </c>
      <c r="D85" s="349">
        <f t="shared" si="0"/>
        <v>0</v>
      </c>
      <c r="E85" s="349">
        <f t="shared" si="1"/>
        <v>0</v>
      </c>
      <c r="F85" s="349">
        <f t="shared" si="2"/>
        <v>0</v>
      </c>
      <c r="G85" s="349">
        <f t="shared" si="3"/>
        <v>0</v>
      </c>
      <c r="H85" s="349">
        <f t="shared" si="4"/>
        <v>0</v>
      </c>
      <c r="I85" s="349">
        <f t="shared" si="5"/>
        <v>0</v>
      </c>
      <c r="J85" s="349">
        <f t="shared" si="6"/>
        <v>0</v>
      </c>
      <c r="K85" s="349">
        <f t="shared" si="7"/>
        <v>0</v>
      </c>
      <c r="L85" s="349">
        <f t="shared" si="8"/>
        <v>0</v>
      </c>
      <c r="M85" s="349">
        <f t="shared" si="9"/>
        <v>0</v>
      </c>
      <c r="N85" s="349">
        <f t="shared" si="10"/>
        <v>0</v>
      </c>
      <c r="O85" s="349">
        <f t="shared" si="11"/>
        <v>0</v>
      </c>
      <c r="P85" s="349">
        <f t="shared" si="12"/>
        <v>0</v>
      </c>
      <c r="Q85" s="349">
        <f t="shared" si="13"/>
        <v>0</v>
      </c>
      <c r="R85" s="349">
        <f t="shared" si="14"/>
        <v>0</v>
      </c>
      <c r="S85" s="349">
        <f t="shared" si="15"/>
        <v>0</v>
      </c>
      <c r="T85" s="349">
        <f t="shared" si="16"/>
        <v>0</v>
      </c>
      <c r="U85" s="349">
        <f t="shared" si="17"/>
        <v>0</v>
      </c>
      <c r="V85" s="349">
        <f t="shared" si="18"/>
        <v>0</v>
      </c>
      <c r="W85" s="349">
        <f t="shared" si="19"/>
        <v>0</v>
      </c>
      <c r="X85" s="349">
        <f t="shared" si="20"/>
        <v>0</v>
      </c>
      <c r="Y85" s="349">
        <f t="shared" si="21"/>
        <v>0</v>
      </c>
      <c r="Z85" s="349">
        <f t="shared" si="22"/>
        <v>0</v>
      </c>
      <c r="AA85" s="349">
        <f t="shared" si="23"/>
        <v>0</v>
      </c>
      <c r="AB85" s="349">
        <f t="shared" si="24"/>
        <v>0</v>
      </c>
      <c r="AC85" s="349">
        <f t="shared" si="25"/>
        <v>0</v>
      </c>
      <c r="AD85" s="349">
        <f t="shared" si="26"/>
        <v>0</v>
      </c>
      <c r="AE85" s="349">
        <f t="shared" si="27"/>
        <v>0</v>
      </c>
      <c r="AF85" s="349">
        <f t="shared" si="28"/>
        <v>0</v>
      </c>
      <c r="AG85" s="349">
        <f t="shared" si="29"/>
        <v>0</v>
      </c>
      <c r="AH85" s="349">
        <f t="shared" si="30"/>
        <v>0</v>
      </c>
    </row>
    <row r="86" spans="1:34" ht="11.25">
      <c r="A86" s="348">
        <v>762</v>
      </c>
      <c r="B86" s="348" t="s">
        <v>205</v>
      </c>
      <c r="C86" s="349" t="s">
        <v>206</v>
      </c>
      <c r="D86" s="349">
        <f t="shared" si="0"/>
        <v>0</v>
      </c>
      <c r="E86" s="349">
        <f t="shared" si="1"/>
        <v>0</v>
      </c>
      <c r="F86" s="349">
        <f t="shared" si="2"/>
        <v>0</v>
      </c>
      <c r="G86" s="349">
        <f t="shared" si="3"/>
        <v>0</v>
      </c>
      <c r="H86" s="349">
        <f t="shared" si="4"/>
        <v>0</v>
      </c>
      <c r="I86" s="349">
        <f t="shared" si="5"/>
        <v>0</v>
      </c>
      <c r="J86" s="349">
        <f t="shared" si="6"/>
        <v>0</v>
      </c>
      <c r="K86" s="349">
        <f t="shared" si="7"/>
        <v>0</v>
      </c>
      <c r="L86" s="349">
        <f t="shared" si="8"/>
        <v>0</v>
      </c>
      <c r="M86" s="349">
        <f t="shared" si="9"/>
        <v>0</v>
      </c>
      <c r="N86" s="349">
        <f t="shared" si="10"/>
        <v>0</v>
      </c>
      <c r="O86" s="349">
        <f t="shared" si="11"/>
        <v>0</v>
      </c>
      <c r="P86" s="349">
        <f t="shared" si="12"/>
        <v>0</v>
      </c>
      <c r="Q86" s="349">
        <f t="shared" si="13"/>
        <v>0</v>
      </c>
      <c r="R86" s="349">
        <f t="shared" si="14"/>
        <v>0</v>
      </c>
      <c r="S86" s="349">
        <f t="shared" si="15"/>
        <v>0</v>
      </c>
      <c r="T86" s="349">
        <f t="shared" si="16"/>
        <v>0</v>
      </c>
      <c r="U86" s="349">
        <f t="shared" si="17"/>
        <v>0</v>
      </c>
      <c r="V86" s="349">
        <f t="shared" si="18"/>
        <v>0</v>
      </c>
      <c r="W86" s="349">
        <f t="shared" si="19"/>
        <v>0</v>
      </c>
      <c r="X86" s="349">
        <f t="shared" si="20"/>
        <v>0</v>
      </c>
      <c r="Y86" s="349">
        <f t="shared" si="21"/>
        <v>0</v>
      </c>
      <c r="Z86" s="349">
        <f t="shared" si="22"/>
        <v>0</v>
      </c>
      <c r="AA86" s="349">
        <f t="shared" si="23"/>
        <v>0</v>
      </c>
      <c r="AB86" s="349">
        <f t="shared" si="24"/>
        <v>0</v>
      </c>
      <c r="AC86" s="349">
        <f t="shared" si="25"/>
        <v>0</v>
      </c>
      <c r="AD86" s="349">
        <f t="shared" si="26"/>
        <v>0</v>
      </c>
      <c r="AE86" s="349">
        <f t="shared" si="27"/>
        <v>0</v>
      </c>
      <c r="AF86" s="349">
        <f t="shared" si="28"/>
        <v>0</v>
      </c>
      <c r="AG86" s="349">
        <f t="shared" si="29"/>
        <v>0</v>
      </c>
      <c r="AH86" s="349">
        <f t="shared" si="30"/>
        <v>0</v>
      </c>
    </row>
    <row r="87" spans="1:34" ht="11.25">
      <c r="A87" s="348">
        <v>763</v>
      </c>
      <c r="B87" s="348" t="s">
        <v>208</v>
      </c>
      <c r="C87" s="349" t="s">
        <v>209</v>
      </c>
      <c r="D87" s="349">
        <f t="shared" si="0"/>
        <v>0</v>
      </c>
      <c r="E87" s="349">
        <f t="shared" si="1"/>
        <v>0</v>
      </c>
      <c r="F87" s="349">
        <f t="shared" si="2"/>
        <v>0</v>
      </c>
      <c r="G87" s="349">
        <f t="shared" si="3"/>
        <v>0</v>
      </c>
      <c r="H87" s="349">
        <f t="shared" si="4"/>
        <v>0</v>
      </c>
      <c r="I87" s="349">
        <f t="shared" si="5"/>
        <v>0</v>
      </c>
      <c r="J87" s="349">
        <f t="shared" si="6"/>
        <v>0</v>
      </c>
      <c r="K87" s="349">
        <f t="shared" si="7"/>
        <v>0</v>
      </c>
      <c r="L87" s="349">
        <f t="shared" si="8"/>
        <v>0</v>
      </c>
      <c r="M87" s="349">
        <f t="shared" si="9"/>
        <v>0</v>
      </c>
      <c r="N87" s="349">
        <f t="shared" si="10"/>
        <v>0</v>
      </c>
      <c r="O87" s="349">
        <f t="shared" si="11"/>
        <v>0</v>
      </c>
      <c r="P87" s="349">
        <f t="shared" si="12"/>
        <v>0</v>
      </c>
      <c r="Q87" s="349">
        <f t="shared" si="13"/>
        <v>0</v>
      </c>
      <c r="R87" s="349">
        <f t="shared" si="14"/>
        <v>0</v>
      </c>
      <c r="S87" s="349">
        <f t="shared" si="15"/>
        <v>0</v>
      </c>
      <c r="T87" s="349">
        <f t="shared" si="16"/>
        <v>0</v>
      </c>
      <c r="U87" s="349">
        <f t="shared" si="17"/>
        <v>0</v>
      </c>
      <c r="V87" s="349">
        <f t="shared" si="18"/>
        <v>0</v>
      </c>
      <c r="W87" s="349">
        <f t="shared" si="19"/>
        <v>0</v>
      </c>
      <c r="X87" s="349">
        <f t="shared" si="20"/>
        <v>0</v>
      </c>
      <c r="Y87" s="349">
        <f t="shared" si="21"/>
        <v>0</v>
      </c>
      <c r="Z87" s="349">
        <f t="shared" si="22"/>
        <v>0</v>
      </c>
      <c r="AA87" s="349">
        <f t="shared" si="23"/>
        <v>0</v>
      </c>
      <c r="AB87" s="349">
        <f t="shared" si="24"/>
        <v>0</v>
      </c>
      <c r="AC87" s="349">
        <f t="shared" si="25"/>
        <v>0</v>
      </c>
      <c r="AD87" s="349">
        <f t="shared" si="26"/>
        <v>0</v>
      </c>
      <c r="AE87" s="349">
        <f t="shared" si="27"/>
        <v>0</v>
      </c>
      <c r="AF87" s="349">
        <f t="shared" si="28"/>
        <v>0</v>
      </c>
      <c r="AG87" s="349">
        <f t="shared" si="29"/>
        <v>0</v>
      </c>
      <c r="AH87" s="349">
        <f t="shared" si="30"/>
        <v>0</v>
      </c>
    </row>
    <row r="88" spans="1:34" ht="11.25">
      <c r="A88" s="348">
        <v>764</v>
      </c>
      <c r="B88" s="348" t="s">
        <v>211</v>
      </c>
      <c r="C88" s="349" t="s">
        <v>212</v>
      </c>
      <c r="D88" s="349">
        <f t="shared" si="0"/>
        <v>0</v>
      </c>
      <c r="E88" s="349">
        <f t="shared" si="1"/>
        <v>0</v>
      </c>
      <c r="F88" s="349">
        <f t="shared" si="2"/>
        <v>0</v>
      </c>
      <c r="G88" s="349">
        <f t="shared" si="3"/>
        <v>0</v>
      </c>
      <c r="H88" s="349">
        <f t="shared" si="4"/>
        <v>0</v>
      </c>
      <c r="I88" s="349">
        <f t="shared" si="5"/>
        <v>0</v>
      </c>
      <c r="J88" s="349">
        <f t="shared" si="6"/>
        <v>0</v>
      </c>
      <c r="K88" s="349">
        <f t="shared" si="7"/>
        <v>0</v>
      </c>
      <c r="L88" s="349">
        <f t="shared" si="8"/>
        <v>0</v>
      </c>
      <c r="M88" s="349">
        <f t="shared" si="9"/>
        <v>0</v>
      </c>
      <c r="N88" s="349">
        <f t="shared" si="10"/>
        <v>0</v>
      </c>
      <c r="O88" s="349">
        <f t="shared" si="11"/>
        <v>0</v>
      </c>
      <c r="P88" s="349">
        <f t="shared" si="12"/>
        <v>0</v>
      </c>
      <c r="Q88" s="349">
        <f t="shared" si="13"/>
        <v>0</v>
      </c>
      <c r="R88" s="349">
        <f t="shared" si="14"/>
        <v>0</v>
      </c>
      <c r="S88" s="349">
        <f t="shared" si="15"/>
        <v>0</v>
      </c>
      <c r="T88" s="349">
        <f t="shared" si="16"/>
        <v>0</v>
      </c>
      <c r="U88" s="349">
        <f t="shared" si="17"/>
        <v>0</v>
      </c>
      <c r="V88" s="349">
        <f t="shared" si="18"/>
        <v>0</v>
      </c>
      <c r="W88" s="349">
        <f t="shared" si="19"/>
        <v>0</v>
      </c>
      <c r="X88" s="349">
        <f t="shared" si="20"/>
        <v>0</v>
      </c>
      <c r="Y88" s="349">
        <f t="shared" si="21"/>
        <v>0</v>
      </c>
      <c r="Z88" s="349">
        <f t="shared" si="22"/>
        <v>0</v>
      </c>
      <c r="AA88" s="349">
        <f t="shared" si="23"/>
        <v>0</v>
      </c>
      <c r="AB88" s="349">
        <f t="shared" si="24"/>
        <v>0</v>
      </c>
      <c r="AC88" s="349">
        <f t="shared" si="25"/>
        <v>0</v>
      </c>
      <c r="AD88" s="349">
        <f t="shared" si="26"/>
        <v>0</v>
      </c>
      <c r="AE88" s="349">
        <f t="shared" si="27"/>
        <v>0</v>
      </c>
      <c r="AF88" s="349">
        <f t="shared" si="28"/>
        <v>0</v>
      </c>
      <c r="AG88" s="349">
        <f t="shared" si="29"/>
        <v>0</v>
      </c>
      <c r="AH88" s="349">
        <f t="shared" si="30"/>
        <v>0</v>
      </c>
    </row>
    <row r="89" spans="1:34" ht="11.25">
      <c r="A89" s="348">
        <v>765</v>
      </c>
      <c r="B89" s="348" t="s">
        <v>214</v>
      </c>
      <c r="C89" s="349" t="s">
        <v>215</v>
      </c>
      <c r="D89" s="349">
        <f t="shared" si="0"/>
        <v>0</v>
      </c>
      <c r="E89" s="349">
        <f t="shared" si="1"/>
        <v>0</v>
      </c>
      <c r="F89" s="349">
        <f t="shared" si="2"/>
        <v>0</v>
      </c>
      <c r="G89" s="349">
        <f t="shared" si="3"/>
        <v>0</v>
      </c>
      <c r="H89" s="349">
        <f t="shared" si="4"/>
        <v>0</v>
      </c>
      <c r="I89" s="349">
        <f t="shared" si="5"/>
        <v>0</v>
      </c>
      <c r="J89" s="349">
        <f t="shared" si="6"/>
        <v>0</v>
      </c>
      <c r="K89" s="349">
        <f t="shared" si="7"/>
        <v>0</v>
      </c>
      <c r="L89" s="349">
        <f t="shared" si="8"/>
        <v>0</v>
      </c>
      <c r="M89" s="349">
        <f t="shared" si="9"/>
        <v>0</v>
      </c>
      <c r="N89" s="349">
        <f t="shared" si="10"/>
        <v>0</v>
      </c>
      <c r="O89" s="349">
        <f t="shared" si="11"/>
        <v>0</v>
      </c>
      <c r="P89" s="349">
        <f t="shared" si="12"/>
        <v>0</v>
      </c>
      <c r="Q89" s="349">
        <f t="shared" si="13"/>
        <v>0</v>
      </c>
      <c r="R89" s="349">
        <f t="shared" si="14"/>
        <v>0</v>
      </c>
      <c r="S89" s="349">
        <f t="shared" si="15"/>
        <v>0</v>
      </c>
      <c r="T89" s="349">
        <f t="shared" si="16"/>
        <v>0</v>
      </c>
      <c r="U89" s="349">
        <f t="shared" si="17"/>
        <v>0</v>
      </c>
      <c r="V89" s="349">
        <f t="shared" si="18"/>
        <v>0</v>
      </c>
      <c r="W89" s="349">
        <f t="shared" si="19"/>
        <v>0</v>
      </c>
      <c r="X89" s="349">
        <f t="shared" si="20"/>
        <v>0</v>
      </c>
      <c r="Y89" s="349">
        <f t="shared" si="21"/>
        <v>0</v>
      </c>
      <c r="Z89" s="349">
        <f t="shared" si="22"/>
        <v>0</v>
      </c>
      <c r="AA89" s="349">
        <f t="shared" si="23"/>
        <v>0</v>
      </c>
      <c r="AB89" s="349">
        <f t="shared" si="24"/>
        <v>0</v>
      </c>
      <c r="AC89" s="349">
        <f t="shared" si="25"/>
        <v>0</v>
      </c>
      <c r="AD89" s="349">
        <f t="shared" si="26"/>
        <v>0</v>
      </c>
      <c r="AE89" s="349">
        <f t="shared" si="27"/>
        <v>0</v>
      </c>
      <c r="AF89" s="349">
        <f t="shared" si="28"/>
        <v>0</v>
      </c>
      <c r="AG89" s="349">
        <f t="shared" si="29"/>
        <v>0</v>
      </c>
      <c r="AH89" s="349">
        <f t="shared" si="30"/>
        <v>0</v>
      </c>
    </row>
    <row r="90" spans="1:34" ht="11.25">
      <c r="A90" s="348">
        <v>766</v>
      </c>
      <c r="B90" s="348" t="s">
        <v>217</v>
      </c>
      <c r="C90" s="349" t="s">
        <v>212</v>
      </c>
      <c r="D90" s="349">
        <f t="shared" si="0"/>
        <v>0</v>
      </c>
      <c r="E90" s="349">
        <f t="shared" si="1"/>
        <v>0</v>
      </c>
      <c r="F90" s="349">
        <f t="shared" si="2"/>
        <v>0</v>
      </c>
      <c r="G90" s="349">
        <f t="shared" si="3"/>
        <v>0</v>
      </c>
      <c r="H90" s="349">
        <f t="shared" si="4"/>
        <v>0</v>
      </c>
      <c r="I90" s="349">
        <f t="shared" si="5"/>
        <v>0</v>
      </c>
      <c r="J90" s="349">
        <f t="shared" si="6"/>
        <v>0</v>
      </c>
      <c r="K90" s="349">
        <f t="shared" si="7"/>
        <v>0</v>
      </c>
      <c r="L90" s="349">
        <f t="shared" si="8"/>
        <v>0</v>
      </c>
      <c r="M90" s="349">
        <f t="shared" si="9"/>
        <v>0</v>
      </c>
      <c r="N90" s="349">
        <f t="shared" si="10"/>
        <v>0</v>
      </c>
      <c r="O90" s="349">
        <f t="shared" si="11"/>
        <v>0</v>
      </c>
      <c r="P90" s="349">
        <f t="shared" si="12"/>
        <v>0</v>
      </c>
      <c r="Q90" s="349">
        <f t="shared" si="13"/>
        <v>0</v>
      </c>
      <c r="R90" s="349">
        <f t="shared" si="14"/>
        <v>0</v>
      </c>
      <c r="S90" s="349">
        <f t="shared" si="15"/>
        <v>0</v>
      </c>
      <c r="T90" s="349">
        <f t="shared" si="16"/>
        <v>0</v>
      </c>
      <c r="U90" s="349">
        <f t="shared" si="17"/>
        <v>0</v>
      </c>
      <c r="V90" s="349">
        <f t="shared" si="18"/>
        <v>0</v>
      </c>
      <c r="W90" s="349">
        <f t="shared" si="19"/>
        <v>0</v>
      </c>
      <c r="X90" s="349">
        <f t="shared" si="20"/>
        <v>0</v>
      </c>
      <c r="Y90" s="349">
        <f t="shared" si="21"/>
        <v>0</v>
      </c>
      <c r="Z90" s="349">
        <f t="shared" si="22"/>
        <v>0</v>
      </c>
      <c r="AA90" s="349">
        <f t="shared" si="23"/>
        <v>0</v>
      </c>
      <c r="AB90" s="349">
        <f t="shared" si="24"/>
        <v>0</v>
      </c>
      <c r="AC90" s="349">
        <f t="shared" si="25"/>
        <v>0</v>
      </c>
      <c r="AD90" s="349">
        <f t="shared" si="26"/>
        <v>0</v>
      </c>
      <c r="AE90" s="349">
        <f t="shared" si="27"/>
        <v>0</v>
      </c>
      <c r="AF90" s="349">
        <f t="shared" si="28"/>
        <v>0</v>
      </c>
      <c r="AG90" s="349">
        <f t="shared" si="29"/>
        <v>0</v>
      </c>
      <c r="AH90" s="349">
        <f t="shared" si="30"/>
        <v>0</v>
      </c>
    </row>
    <row r="91" spans="1:34" ht="11.25">
      <c r="A91" s="348">
        <v>767</v>
      </c>
      <c r="B91" s="348" t="s">
        <v>218</v>
      </c>
      <c r="C91" s="349" t="s">
        <v>219</v>
      </c>
      <c r="D91" s="349">
        <f t="shared" si="0"/>
        <v>0</v>
      </c>
      <c r="E91" s="349">
        <f t="shared" si="1"/>
        <v>0</v>
      </c>
      <c r="F91" s="349">
        <f t="shared" si="2"/>
        <v>0</v>
      </c>
      <c r="G91" s="349">
        <f t="shared" si="3"/>
        <v>0</v>
      </c>
      <c r="H91" s="349">
        <f t="shared" si="4"/>
        <v>0</v>
      </c>
      <c r="I91" s="349">
        <f t="shared" si="5"/>
        <v>0</v>
      </c>
      <c r="J91" s="349">
        <f t="shared" si="6"/>
        <v>0</v>
      </c>
      <c r="K91" s="349">
        <f t="shared" si="7"/>
        <v>0</v>
      </c>
      <c r="L91" s="349">
        <f t="shared" si="8"/>
        <v>0</v>
      </c>
      <c r="M91" s="349">
        <f t="shared" si="9"/>
        <v>0</v>
      </c>
      <c r="N91" s="349">
        <f t="shared" si="10"/>
        <v>0</v>
      </c>
      <c r="O91" s="349">
        <f t="shared" si="11"/>
        <v>0</v>
      </c>
      <c r="P91" s="349">
        <f t="shared" si="12"/>
        <v>0</v>
      </c>
      <c r="Q91" s="349">
        <f t="shared" si="13"/>
        <v>0</v>
      </c>
      <c r="R91" s="349">
        <f t="shared" si="14"/>
        <v>0</v>
      </c>
      <c r="S91" s="349">
        <f t="shared" si="15"/>
        <v>0</v>
      </c>
      <c r="T91" s="349">
        <f t="shared" si="16"/>
        <v>0</v>
      </c>
      <c r="U91" s="349">
        <f t="shared" si="17"/>
        <v>0</v>
      </c>
      <c r="V91" s="349">
        <f t="shared" si="18"/>
        <v>0</v>
      </c>
      <c r="W91" s="349">
        <f t="shared" si="19"/>
        <v>0</v>
      </c>
      <c r="X91" s="349">
        <f t="shared" si="20"/>
        <v>0</v>
      </c>
      <c r="Y91" s="349">
        <f t="shared" si="21"/>
        <v>0</v>
      </c>
      <c r="Z91" s="349">
        <f t="shared" si="22"/>
        <v>0</v>
      </c>
      <c r="AA91" s="349">
        <f t="shared" si="23"/>
        <v>0</v>
      </c>
      <c r="AB91" s="349">
        <f t="shared" si="24"/>
        <v>0</v>
      </c>
      <c r="AC91" s="349">
        <f t="shared" si="25"/>
        <v>0</v>
      </c>
      <c r="AD91" s="349">
        <f t="shared" si="26"/>
        <v>0</v>
      </c>
      <c r="AE91" s="349">
        <f t="shared" si="27"/>
        <v>0</v>
      </c>
      <c r="AF91" s="349">
        <f t="shared" si="28"/>
        <v>0</v>
      </c>
      <c r="AG91" s="349">
        <f t="shared" si="29"/>
        <v>0</v>
      </c>
      <c r="AH91" s="349">
        <f t="shared" si="30"/>
        <v>0</v>
      </c>
    </row>
    <row r="92" spans="1:34" ht="11.25">
      <c r="A92" s="348">
        <v>768</v>
      </c>
      <c r="B92" s="348" t="s">
        <v>221</v>
      </c>
      <c r="C92" s="349" t="s">
        <v>212</v>
      </c>
      <c r="D92" s="349">
        <f t="shared" si="0"/>
        <v>0</v>
      </c>
      <c r="E92" s="349">
        <f t="shared" si="1"/>
        <v>0</v>
      </c>
      <c r="F92" s="349">
        <f t="shared" si="2"/>
        <v>0</v>
      </c>
      <c r="G92" s="349">
        <f t="shared" si="3"/>
        <v>0</v>
      </c>
      <c r="H92" s="349">
        <f t="shared" si="4"/>
        <v>0</v>
      </c>
      <c r="I92" s="349">
        <f t="shared" si="5"/>
        <v>0</v>
      </c>
      <c r="J92" s="349">
        <f t="shared" si="6"/>
        <v>0</v>
      </c>
      <c r="K92" s="349">
        <f t="shared" si="7"/>
        <v>0</v>
      </c>
      <c r="L92" s="349">
        <f t="shared" si="8"/>
        <v>0</v>
      </c>
      <c r="M92" s="349">
        <f t="shared" si="9"/>
        <v>0</v>
      </c>
      <c r="N92" s="349">
        <f t="shared" si="10"/>
        <v>0</v>
      </c>
      <c r="O92" s="349">
        <f t="shared" si="11"/>
        <v>0</v>
      </c>
      <c r="P92" s="349">
        <f t="shared" si="12"/>
        <v>0</v>
      </c>
      <c r="Q92" s="349">
        <f t="shared" si="13"/>
        <v>0</v>
      </c>
      <c r="R92" s="349">
        <f t="shared" si="14"/>
        <v>0</v>
      </c>
      <c r="S92" s="349">
        <f t="shared" si="15"/>
        <v>0</v>
      </c>
      <c r="T92" s="349">
        <f t="shared" si="16"/>
        <v>0</v>
      </c>
      <c r="U92" s="349">
        <f t="shared" si="17"/>
        <v>0</v>
      </c>
      <c r="V92" s="349">
        <f t="shared" si="18"/>
        <v>0</v>
      </c>
      <c r="W92" s="349">
        <f t="shared" si="19"/>
        <v>0</v>
      </c>
      <c r="X92" s="349">
        <f t="shared" si="20"/>
        <v>0</v>
      </c>
      <c r="Y92" s="349">
        <f t="shared" si="21"/>
        <v>0</v>
      </c>
      <c r="Z92" s="349">
        <f t="shared" si="22"/>
        <v>0</v>
      </c>
      <c r="AA92" s="349">
        <f t="shared" si="23"/>
        <v>0</v>
      </c>
      <c r="AB92" s="349">
        <f t="shared" si="24"/>
        <v>0</v>
      </c>
      <c r="AC92" s="349">
        <f t="shared" si="25"/>
        <v>0</v>
      </c>
      <c r="AD92" s="349">
        <f t="shared" si="26"/>
        <v>0</v>
      </c>
      <c r="AE92" s="349">
        <f t="shared" si="27"/>
        <v>0</v>
      </c>
      <c r="AF92" s="349">
        <f t="shared" si="28"/>
        <v>0</v>
      </c>
      <c r="AG92" s="349">
        <f t="shared" si="29"/>
        <v>0</v>
      </c>
      <c r="AH92" s="349">
        <f t="shared" si="30"/>
        <v>0</v>
      </c>
    </row>
    <row r="93" spans="1:34" ht="11.25">
      <c r="A93" s="348">
        <v>769</v>
      </c>
      <c r="B93" s="348" t="s">
        <v>222</v>
      </c>
      <c r="C93" s="349" t="s">
        <v>223</v>
      </c>
      <c r="D93" s="349">
        <f t="shared" si="0"/>
        <v>0</v>
      </c>
      <c r="E93" s="349">
        <f t="shared" si="1"/>
        <v>0</v>
      </c>
      <c r="F93" s="349">
        <f t="shared" si="2"/>
        <v>0</v>
      </c>
      <c r="G93" s="349">
        <f t="shared" si="3"/>
        <v>0</v>
      </c>
      <c r="H93" s="349">
        <f t="shared" si="4"/>
        <v>0</v>
      </c>
      <c r="I93" s="349">
        <f t="shared" si="5"/>
        <v>0</v>
      </c>
      <c r="J93" s="349">
        <f t="shared" si="6"/>
        <v>0</v>
      </c>
      <c r="K93" s="349">
        <f t="shared" si="7"/>
        <v>0</v>
      </c>
      <c r="L93" s="349">
        <f t="shared" si="8"/>
        <v>0</v>
      </c>
      <c r="M93" s="349">
        <f t="shared" si="9"/>
        <v>0</v>
      </c>
      <c r="N93" s="349">
        <f t="shared" si="10"/>
        <v>0</v>
      </c>
      <c r="O93" s="349">
        <f t="shared" si="11"/>
        <v>0</v>
      </c>
      <c r="P93" s="349">
        <f t="shared" si="12"/>
        <v>0</v>
      </c>
      <c r="Q93" s="349">
        <f t="shared" si="13"/>
        <v>0</v>
      </c>
      <c r="R93" s="349">
        <f t="shared" si="14"/>
        <v>0</v>
      </c>
      <c r="S93" s="349">
        <f t="shared" si="15"/>
        <v>0</v>
      </c>
      <c r="T93" s="349">
        <f t="shared" si="16"/>
        <v>0</v>
      </c>
      <c r="U93" s="349">
        <f t="shared" si="17"/>
        <v>0</v>
      </c>
      <c r="V93" s="349">
        <f t="shared" si="18"/>
        <v>0</v>
      </c>
      <c r="W93" s="349">
        <f t="shared" si="19"/>
        <v>0</v>
      </c>
      <c r="X93" s="349">
        <f t="shared" si="20"/>
        <v>0</v>
      </c>
      <c r="Y93" s="349">
        <f t="shared" si="21"/>
        <v>0</v>
      </c>
      <c r="Z93" s="349">
        <f t="shared" si="22"/>
        <v>0</v>
      </c>
      <c r="AA93" s="349">
        <f t="shared" si="23"/>
        <v>0</v>
      </c>
      <c r="AB93" s="349">
        <f t="shared" si="24"/>
        <v>0</v>
      </c>
      <c r="AC93" s="349">
        <f t="shared" si="25"/>
        <v>0</v>
      </c>
      <c r="AD93" s="349">
        <f t="shared" si="26"/>
        <v>0</v>
      </c>
      <c r="AE93" s="349">
        <f t="shared" si="27"/>
        <v>0</v>
      </c>
      <c r="AF93" s="349">
        <f t="shared" si="28"/>
        <v>0</v>
      </c>
      <c r="AG93" s="349">
        <f t="shared" si="29"/>
        <v>0</v>
      </c>
      <c r="AH93" s="349">
        <f t="shared" si="30"/>
        <v>0</v>
      </c>
    </row>
    <row r="94" spans="1:34" ht="11.25">
      <c r="A94" s="348">
        <v>770</v>
      </c>
      <c r="B94" s="348" t="s">
        <v>225</v>
      </c>
      <c r="C94" s="349" t="s">
        <v>212</v>
      </c>
      <c r="D94" s="349">
        <f t="shared" si="0"/>
        <v>0</v>
      </c>
      <c r="E94" s="349">
        <f t="shared" si="1"/>
        <v>0</v>
      </c>
      <c r="F94" s="349">
        <f t="shared" si="2"/>
        <v>0</v>
      </c>
      <c r="G94" s="349">
        <f t="shared" si="3"/>
        <v>0</v>
      </c>
      <c r="H94" s="349">
        <f t="shared" si="4"/>
        <v>0</v>
      </c>
      <c r="I94" s="349">
        <f t="shared" si="5"/>
        <v>0</v>
      </c>
      <c r="J94" s="349">
        <f t="shared" si="6"/>
        <v>0</v>
      </c>
      <c r="K94" s="349">
        <f t="shared" si="7"/>
        <v>0</v>
      </c>
      <c r="L94" s="349">
        <f t="shared" si="8"/>
        <v>0</v>
      </c>
      <c r="M94" s="349">
        <f t="shared" si="9"/>
        <v>0</v>
      </c>
      <c r="N94" s="349">
        <f t="shared" si="10"/>
        <v>0</v>
      </c>
      <c r="O94" s="349">
        <f t="shared" si="11"/>
        <v>0</v>
      </c>
      <c r="P94" s="349">
        <f t="shared" si="12"/>
        <v>0</v>
      </c>
      <c r="Q94" s="349">
        <f t="shared" si="13"/>
        <v>0</v>
      </c>
      <c r="R94" s="349">
        <f t="shared" si="14"/>
        <v>0</v>
      </c>
      <c r="S94" s="349">
        <f t="shared" si="15"/>
        <v>0</v>
      </c>
      <c r="T94" s="349">
        <f t="shared" si="16"/>
        <v>0</v>
      </c>
      <c r="U94" s="349">
        <f t="shared" si="17"/>
        <v>0</v>
      </c>
      <c r="V94" s="349">
        <f t="shared" si="18"/>
        <v>0</v>
      </c>
      <c r="W94" s="349">
        <f t="shared" si="19"/>
        <v>0</v>
      </c>
      <c r="X94" s="349">
        <f t="shared" si="20"/>
        <v>0</v>
      </c>
      <c r="Y94" s="349">
        <f t="shared" si="21"/>
        <v>0</v>
      </c>
      <c r="Z94" s="349">
        <f t="shared" si="22"/>
        <v>0</v>
      </c>
      <c r="AA94" s="349">
        <f t="shared" si="23"/>
        <v>0</v>
      </c>
      <c r="AB94" s="349">
        <f t="shared" si="24"/>
        <v>0</v>
      </c>
      <c r="AC94" s="349">
        <f t="shared" si="25"/>
        <v>0</v>
      </c>
      <c r="AD94" s="349">
        <f t="shared" si="26"/>
        <v>0</v>
      </c>
      <c r="AE94" s="349">
        <f t="shared" si="27"/>
        <v>0</v>
      </c>
      <c r="AF94" s="349">
        <f t="shared" si="28"/>
        <v>0</v>
      </c>
      <c r="AG94" s="349">
        <f t="shared" si="29"/>
        <v>0</v>
      </c>
      <c r="AH94" s="349">
        <f t="shared" si="30"/>
        <v>0</v>
      </c>
    </row>
    <row r="95" spans="1:34" ht="11.25">
      <c r="A95" s="348">
        <v>790</v>
      </c>
      <c r="B95" s="348">
        <v>13</v>
      </c>
      <c r="C95" s="349" t="s">
        <v>226</v>
      </c>
      <c r="D95" s="349">
        <f t="shared" si="0"/>
        <v>0</v>
      </c>
      <c r="E95" s="349">
        <f t="shared" si="1"/>
        <v>0</v>
      </c>
      <c r="F95" s="349">
        <f t="shared" si="2"/>
        <v>0</v>
      </c>
      <c r="G95" s="349">
        <f t="shared" si="3"/>
        <v>0</v>
      </c>
      <c r="H95" s="349">
        <f t="shared" si="4"/>
        <v>0</v>
      </c>
      <c r="I95" s="349">
        <f t="shared" si="5"/>
        <v>0</v>
      </c>
      <c r="J95" s="349">
        <f t="shared" si="6"/>
        <v>0</v>
      </c>
      <c r="K95" s="349">
        <f t="shared" si="7"/>
        <v>0</v>
      </c>
      <c r="L95" s="349">
        <f t="shared" si="8"/>
        <v>0</v>
      </c>
      <c r="M95" s="349">
        <f t="shared" si="9"/>
        <v>0</v>
      </c>
      <c r="N95" s="349">
        <f t="shared" si="10"/>
        <v>0</v>
      </c>
      <c r="O95" s="349">
        <f t="shared" si="11"/>
        <v>0</v>
      </c>
      <c r="P95" s="349">
        <f t="shared" si="12"/>
        <v>0</v>
      </c>
      <c r="Q95" s="349">
        <f t="shared" si="13"/>
        <v>0</v>
      </c>
      <c r="R95" s="349">
        <f t="shared" si="14"/>
        <v>0</v>
      </c>
      <c r="S95" s="349">
        <f t="shared" si="15"/>
        <v>0</v>
      </c>
      <c r="T95" s="349">
        <f t="shared" si="16"/>
        <v>0</v>
      </c>
      <c r="U95" s="349">
        <f t="shared" si="17"/>
        <v>0</v>
      </c>
      <c r="V95" s="349">
        <f t="shared" si="18"/>
        <v>0</v>
      </c>
      <c r="W95" s="349">
        <f t="shared" si="19"/>
        <v>0</v>
      </c>
      <c r="X95" s="349">
        <f t="shared" si="20"/>
        <v>0</v>
      </c>
      <c r="Y95" s="349">
        <f t="shared" si="21"/>
        <v>0</v>
      </c>
      <c r="Z95" s="349">
        <f t="shared" si="22"/>
        <v>0</v>
      </c>
      <c r="AA95" s="349">
        <f t="shared" si="23"/>
        <v>0</v>
      </c>
      <c r="AB95" s="349">
        <f t="shared" si="24"/>
        <v>0</v>
      </c>
      <c r="AC95" s="349">
        <f t="shared" si="25"/>
        <v>0</v>
      </c>
      <c r="AD95" s="349">
        <f t="shared" si="26"/>
        <v>0</v>
      </c>
      <c r="AE95" s="349">
        <f t="shared" si="27"/>
        <v>0</v>
      </c>
      <c r="AF95" s="349">
        <f t="shared" si="28"/>
        <v>0</v>
      </c>
      <c r="AG95" s="349">
        <f t="shared" si="29"/>
        <v>0</v>
      </c>
      <c r="AH95" s="349">
        <f t="shared" si="30"/>
        <v>0</v>
      </c>
    </row>
    <row r="96" spans="1:34" ht="11.25">
      <c r="A96" s="348">
        <v>800</v>
      </c>
      <c r="B96" s="348" t="s">
        <v>227</v>
      </c>
      <c r="C96" s="349" t="s">
        <v>228</v>
      </c>
      <c r="D96" s="349">
        <f t="shared" si="0"/>
        <v>0</v>
      </c>
      <c r="E96" s="349">
        <f t="shared" si="1"/>
        <v>0</v>
      </c>
      <c r="F96" s="349">
        <f t="shared" si="2"/>
        <v>0</v>
      </c>
      <c r="G96" s="349">
        <f t="shared" si="3"/>
        <v>0</v>
      </c>
      <c r="H96" s="349">
        <f t="shared" si="4"/>
        <v>0</v>
      </c>
      <c r="I96" s="349">
        <f t="shared" si="5"/>
        <v>0</v>
      </c>
      <c r="J96" s="349">
        <f t="shared" si="6"/>
        <v>0</v>
      </c>
      <c r="K96" s="349">
        <f t="shared" si="7"/>
        <v>0</v>
      </c>
      <c r="L96" s="349">
        <f t="shared" si="8"/>
        <v>0</v>
      </c>
      <c r="M96" s="349">
        <f t="shared" si="9"/>
        <v>0</v>
      </c>
      <c r="N96" s="349">
        <f t="shared" si="10"/>
        <v>0</v>
      </c>
      <c r="O96" s="349">
        <f t="shared" si="11"/>
        <v>0</v>
      </c>
      <c r="P96" s="349">
        <f t="shared" si="12"/>
        <v>0</v>
      </c>
      <c r="Q96" s="349">
        <f t="shared" si="13"/>
        <v>0</v>
      </c>
      <c r="R96" s="349">
        <f t="shared" si="14"/>
        <v>0</v>
      </c>
      <c r="S96" s="349">
        <f t="shared" si="15"/>
        <v>0</v>
      </c>
      <c r="T96" s="349">
        <f t="shared" si="16"/>
        <v>0</v>
      </c>
      <c r="U96" s="349">
        <f t="shared" si="17"/>
        <v>0</v>
      </c>
      <c r="V96" s="349">
        <f t="shared" si="18"/>
        <v>0</v>
      </c>
      <c r="W96" s="349">
        <f t="shared" si="19"/>
        <v>0</v>
      </c>
      <c r="X96" s="349">
        <f t="shared" si="20"/>
        <v>0</v>
      </c>
      <c r="Y96" s="349">
        <f t="shared" si="21"/>
        <v>0</v>
      </c>
      <c r="Z96" s="349">
        <f t="shared" si="22"/>
        <v>0</v>
      </c>
      <c r="AA96" s="349">
        <f t="shared" si="23"/>
        <v>0</v>
      </c>
      <c r="AB96" s="349">
        <f t="shared" si="24"/>
        <v>0</v>
      </c>
      <c r="AC96" s="349">
        <f t="shared" si="25"/>
        <v>0</v>
      </c>
      <c r="AD96" s="349">
        <f t="shared" si="26"/>
        <v>0</v>
      </c>
      <c r="AE96" s="349">
        <f t="shared" si="27"/>
        <v>0</v>
      </c>
      <c r="AF96" s="349">
        <f t="shared" si="28"/>
        <v>0</v>
      </c>
      <c r="AG96" s="349">
        <f t="shared" si="29"/>
        <v>0</v>
      </c>
      <c r="AH96" s="349">
        <f t="shared" si="30"/>
        <v>0</v>
      </c>
    </row>
    <row r="97" spans="1:34" ht="11.25">
      <c r="A97" s="348">
        <v>810</v>
      </c>
      <c r="B97" s="348" t="s">
        <v>230</v>
      </c>
      <c r="C97" s="349" t="s">
        <v>231</v>
      </c>
      <c r="D97" s="349">
        <f t="shared" si="0"/>
        <v>0</v>
      </c>
      <c r="E97" s="349">
        <f t="shared" si="1"/>
        <v>0</v>
      </c>
      <c r="F97" s="349">
        <f t="shared" si="2"/>
        <v>0</v>
      </c>
      <c r="G97" s="349">
        <f t="shared" si="3"/>
        <v>0</v>
      </c>
      <c r="H97" s="349">
        <f t="shared" si="4"/>
        <v>0</v>
      </c>
      <c r="I97" s="349">
        <f t="shared" si="5"/>
        <v>0</v>
      </c>
      <c r="J97" s="349">
        <f t="shared" si="6"/>
        <v>0</v>
      </c>
      <c r="K97" s="349">
        <f t="shared" si="7"/>
        <v>0</v>
      </c>
      <c r="L97" s="349">
        <f t="shared" si="8"/>
        <v>0</v>
      </c>
      <c r="M97" s="349">
        <f t="shared" si="9"/>
        <v>0</v>
      </c>
      <c r="N97" s="349">
        <f t="shared" si="10"/>
        <v>0</v>
      </c>
      <c r="O97" s="349">
        <f t="shared" si="11"/>
        <v>0</v>
      </c>
      <c r="P97" s="349">
        <f t="shared" si="12"/>
        <v>0</v>
      </c>
      <c r="Q97" s="349">
        <f t="shared" si="13"/>
        <v>0</v>
      </c>
      <c r="R97" s="349">
        <f t="shared" si="14"/>
        <v>0</v>
      </c>
      <c r="S97" s="349">
        <f t="shared" si="15"/>
        <v>0</v>
      </c>
      <c r="T97" s="349">
        <f t="shared" si="16"/>
        <v>0</v>
      </c>
      <c r="U97" s="349">
        <f t="shared" si="17"/>
        <v>0</v>
      </c>
      <c r="V97" s="349">
        <f t="shared" si="18"/>
        <v>0</v>
      </c>
      <c r="W97" s="349">
        <f t="shared" si="19"/>
        <v>0</v>
      </c>
      <c r="X97" s="349">
        <f t="shared" si="20"/>
        <v>0</v>
      </c>
      <c r="Y97" s="349">
        <f t="shared" si="21"/>
        <v>0</v>
      </c>
      <c r="Z97" s="349">
        <f t="shared" si="22"/>
        <v>0</v>
      </c>
      <c r="AA97" s="349">
        <f t="shared" si="23"/>
        <v>0</v>
      </c>
      <c r="AB97" s="349">
        <f t="shared" si="24"/>
        <v>0</v>
      </c>
      <c r="AC97" s="349">
        <f t="shared" si="25"/>
        <v>0</v>
      </c>
      <c r="AD97" s="349">
        <f t="shared" si="26"/>
        <v>0</v>
      </c>
      <c r="AE97" s="349">
        <f t="shared" si="27"/>
        <v>0</v>
      </c>
      <c r="AF97" s="349">
        <f t="shared" si="28"/>
        <v>0</v>
      </c>
      <c r="AG97" s="349">
        <f t="shared" si="29"/>
        <v>0</v>
      </c>
      <c r="AH97" s="349">
        <f t="shared" si="30"/>
        <v>0</v>
      </c>
    </row>
    <row r="98" spans="1:34" ht="11.25">
      <c r="A98" s="348">
        <v>820</v>
      </c>
      <c r="B98" s="348" t="s">
        <v>233</v>
      </c>
      <c r="C98" s="349" t="s">
        <v>234</v>
      </c>
      <c r="D98" s="349">
        <f t="shared" si="0"/>
        <v>0</v>
      </c>
      <c r="E98" s="349">
        <f t="shared" si="1"/>
        <v>0</v>
      </c>
      <c r="F98" s="349">
        <f t="shared" si="2"/>
        <v>0</v>
      </c>
      <c r="G98" s="349">
        <f t="shared" si="3"/>
        <v>0</v>
      </c>
      <c r="H98" s="349">
        <f t="shared" si="4"/>
        <v>0</v>
      </c>
      <c r="I98" s="349">
        <f t="shared" si="5"/>
        <v>0</v>
      </c>
      <c r="J98" s="349">
        <f t="shared" si="6"/>
        <v>0</v>
      </c>
      <c r="K98" s="349">
        <f t="shared" si="7"/>
        <v>0</v>
      </c>
      <c r="L98" s="349">
        <f t="shared" si="8"/>
        <v>0</v>
      </c>
      <c r="M98" s="349">
        <f t="shared" si="9"/>
        <v>0</v>
      </c>
      <c r="N98" s="349">
        <f t="shared" si="10"/>
        <v>0</v>
      </c>
      <c r="O98" s="349">
        <f t="shared" si="11"/>
        <v>0</v>
      </c>
      <c r="P98" s="349">
        <f t="shared" si="12"/>
        <v>0</v>
      </c>
      <c r="Q98" s="349">
        <f t="shared" si="13"/>
        <v>0</v>
      </c>
      <c r="R98" s="349">
        <f t="shared" si="14"/>
        <v>0</v>
      </c>
      <c r="S98" s="349">
        <f t="shared" si="15"/>
        <v>0</v>
      </c>
      <c r="T98" s="349">
        <f t="shared" si="16"/>
        <v>0</v>
      </c>
      <c r="U98" s="349">
        <f t="shared" si="17"/>
        <v>0</v>
      </c>
      <c r="V98" s="349">
        <f t="shared" si="18"/>
        <v>0</v>
      </c>
      <c r="W98" s="349">
        <f t="shared" si="19"/>
        <v>0</v>
      </c>
      <c r="X98" s="349">
        <f t="shared" si="20"/>
        <v>0</v>
      </c>
      <c r="Y98" s="349">
        <f t="shared" si="21"/>
        <v>0</v>
      </c>
      <c r="Z98" s="349">
        <f t="shared" si="22"/>
        <v>0</v>
      </c>
      <c r="AA98" s="349">
        <f t="shared" si="23"/>
        <v>0</v>
      </c>
      <c r="AB98" s="349">
        <f t="shared" si="24"/>
        <v>0</v>
      </c>
      <c r="AC98" s="349">
        <f t="shared" si="25"/>
        <v>0</v>
      </c>
      <c r="AD98" s="349">
        <f t="shared" si="26"/>
        <v>0</v>
      </c>
      <c r="AE98" s="349">
        <f t="shared" si="27"/>
        <v>0</v>
      </c>
      <c r="AF98" s="349">
        <f t="shared" si="28"/>
        <v>0</v>
      </c>
      <c r="AG98" s="349">
        <f t="shared" si="29"/>
        <v>0</v>
      </c>
      <c r="AH98" s="349">
        <f t="shared" si="30"/>
        <v>0</v>
      </c>
    </row>
    <row r="99" spans="1:34" ht="11.25">
      <c r="A99" s="348">
        <v>830</v>
      </c>
      <c r="B99" s="348" t="s">
        <v>236</v>
      </c>
      <c r="C99" s="349" t="s">
        <v>237</v>
      </c>
      <c r="D99" s="349">
        <f t="shared" si="0"/>
        <v>0</v>
      </c>
      <c r="E99" s="349">
        <f t="shared" si="1"/>
        <v>0</v>
      </c>
      <c r="F99" s="349">
        <f t="shared" si="2"/>
        <v>0</v>
      </c>
      <c r="G99" s="349">
        <f t="shared" si="3"/>
        <v>0</v>
      </c>
      <c r="H99" s="349">
        <f t="shared" si="4"/>
        <v>0</v>
      </c>
      <c r="I99" s="349">
        <f t="shared" si="5"/>
        <v>0</v>
      </c>
      <c r="J99" s="349">
        <f t="shared" si="6"/>
        <v>0</v>
      </c>
      <c r="K99" s="349">
        <f t="shared" si="7"/>
        <v>0</v>
      </c>
      <c r="L99" s="349">
        <f t="shared" si="8"/>
        <v>0</v>
      </c>
      <c r="M99" s="349">
        <f t="shared" si="9"/>
        <v>0</v>
      </c>
      <c r="N99" s="349">
        <f t="shared" si="10"/>
        <v>0</v>
      </c>
      <c r="O99" s="349">
        <f t="shared" si="11"/>
        <v>0</v>
      </c>
      <c r="P99" s="349">
        <f t="shared" si="12"/>
        <v>0</v>
      </c>
      <c r="Q99" s="349">
        <f t="shared" si="13"/>
        <v>0</v>
      </c>
      <c r="R99" s="349">
        <f t="shared" si="14"/>
        <v>0</v>
      </c>
      <c r="S99" s="349">
        <f t="shared" si="15"/>
        <v>0</v>
      </c>
      <c r="T99" s="349">
        <f t="shared" si="16"/>
        <v>0</v>
      </c>
      <c r="U99" s="349">
        <f t="shared" si="17"/>
        <v>0</v>
      </c>
      <c r="V99" s="349">
        <f t="shared" si="18"/>
        <v>0</v>
      </c>
      <c r="W99" s="349">
        <f t="shared" si="19"/>
        <v>0</v>
      </c>
      <c r="X99" s="349">
        <f t="shared" si="20"/>
        <v>0</v>
      </c>
      <c r="Y99" s="349">
        <f t="shared" si="21"/>
        <v>0</v>
      </c>
      <c r="Z99" s="349">
        <f t="shared" si="22"/>
        <v>0</v>
      </c>
      <c r="AA99" s="349">
        <f t="shared" si="23"/>
        <v>0</v>
      </c>
      <c r="AB99" s="349">
        <f t="shared" si="24"/>
        <v>0</v>
      </c>
      <c r="AC99" s="349">
        <f t="shared" si="25"/>
        <v>0</v>
      </c>
      <c r="AD99" s="349">
        <f t="shared" si="26"/>
        <v>0</v>
      </c>
      <c r="AE99" s="349">
        <f t="shared" si="27"/>
        <v>0</v>
      </c>
      <c r="AF99" s="349">
        <f t="shared" si="28"/>
        <v>0</v>
      </c>
      <c r="AG99" s="349">
        <f t="shared" si="29"/>
        <v>0</v>
      </c>
      <c r="AH99" s="349">
        <f t="shared" si="30"/>
        <v>0</v>
      </c>
    </row>
    <row r="100" spans="1:34" ht="11.25">
      <c r="A100" s="348">
        <v>840</v>
      </c>
      <c r="B100" s="348" t="s">
        <v>239</v>
      </c>
      <c r="C100" s="349" t="s">
        <v>240</v>
      </c>
      <c r="D100" s="349">
        <f t="shared" si="0"/>
        <v>0</v>
      </c>
      <c r="E100" s="349">
        <f t="shared" si="1"/>
        <v>0</v>
      </c>
      <c r="F100" s="349">
        <f t="shared" si="2"/>
        <v>0</v>
      </c>
      <c r="G100" s="349">
        <f t="shared" si="3"/>
        <v>0</v>
      </c>
      <c r="H100" s="349">
        <f t="shared" si="4"/>
        <v>0</v>
      </c>
      <c r="I100" s="349">
        <f t="shared" si="5"/>
        <v>0</v>
      </c>
      <c r="J100" s="349">
        <f t="shared" si="6"/>
        <v>0</v>
      </c>
      <c r="K100" s="349">
        <f t="shared" si="7"/>
        <v>0</v>
      </c>
      <c r="L100" s="349">
        <f t="shared" si="8"/>
        <v>0</v>
      </c>
      <c r="M100" s="349">
        <f t="shared" si="9"/>
        <v>0</v>
      </c>
      <c r="N100" s="349">
        <f t="shared" si="10"/>
        <v>0</v>
      </c>
      <c r="O100" s="349">
        <f t="shared" si="11"/>
        <v>0</v>
      </c>
      <c r="P100" s="349">
        <f t="shared" si="12"/>
        <v>0</v>
      </c>
      <c r="Q100" s="349">
        <f t="shared" si="13"/>
        <v>0</v>
      </c>
      <c r="R100" s="349">
        <f t="shared" si="14"/>
        <v>0</v>
      </c>
      <c r="S100" s="349">
        <f t="shared" si="15"/>
        <v>0</v>
      </c>
      <c r="T100" s="349">
        <f t="shared" si="16"/>
        <v>0</v>
      </c>
      <c r="U100" s="349">
        <f t="shared" si="17"/>
        <v>0</v>
      </c>
      <c r="V100" s="349">
        <f t="shared" si="18"/>
        <v>0</v>
      </c>
      <c r="W100" s="349">
        <f t="shared" si="19"/>
        <v>0</v>
      </c>
      <c r="X100" s="349">
        <f t="shared" si="20"/>
        <v>0</v>
      </c>
      <c r="Y100" s="349">
        <f t="shared" si="21"/>
        <v>0</v>
      </c>
      <c r="Z100" s="349">
        <f t="shared" si="22"/>
        <v>0</v>
      </c>
      <c r="AA100" s="349">
        <f t="shared" si="23"/>
        <v>0</v>
      </c>
      <c r="AB100" s="349">
        <f t="shared" si="24"/>
        <v>0</v>
      </c>
      <c r="AC100" s="349">
        <f t="shared" si="25"/>
        <v>0</v>
      </c>
      <c r="AD100" s="349">
        <f t="shared" si="26"/>
        <v>0</v>
      </c>
      <c r="AE100" s="349">
        <f t="shared" si="27"/>
        <v>0</v>
      </c>
      <c r="AF100" s="349">
        <f t="shared" si="28"/>
        <v>0</v>
      </c>
      <c r="AG100" s="349">
        <f t="shared" si="29"/>
        <v>0</v>
      </c>
      <c r="AH100" s="349">
        <f t="shared" si="30"/>
        <v>0</v>
      </c>
    </row>
    <row r="101" spans="1:34" ht="11.25">
      <c r="A101" s="348">
        <v>850</v>
      </c>
      <c r="B101" s="348" t="s">
        <v>242</v>
      </c>
      <c r="C101" s="349" t="s">
        <v>243</v>
      </c>
      <c r="D101" s="349">
        <f t="shared" si="0"/>
        <v>0</v>
      </c>
      <c r="E101" s="349">
        <f t="shared" si="1"/>
        <v>0</v>
      </c>
      <c r="F101" s="349">
        <f t="shared" si="2"/>
        <v>0</v>
      </c>
      <c r="G101" s="349">
        <f t="shared" si="3"/>
        <v>0</v>
      </c>
      <c r="H101" s="349">
        <f t="shared" si="4"/>
        <v>0</v>
      </c>
      <c r="I101" s="349">
        <f t="shared" si="5"/>
        <v>0</v>
      </c>
      <c r="J101" s="349">
        <f t="shared" si="6"/>
        <v>0</v>
      </c>
      <c r="K101" s="349">
        <f t="shared" si="7"/>
        <v>0</v>
      </c>
      <c r="L101" s="349">
        <f t="shared" si="8"/>
        <v>0</v>
      </c>
      <c r="M101" s="349">
        <f t="shared" si="9"/>
        <v>0</v>
      </c>
      <c r="N101" s="349">
        <f t="shared" si="10"/>
        <v>0</v>
      </c>
      <c r="O101" s="349">
        <f t="shared" si="11"/>
        <v>0</v>
      </c>
      <c r="P101" s="349">
        <f t="shared" si="12"/>
        <v>0</v>
      </c>
      <c r="Q101" s="349">
        <f t="shared" si="13"/>
        <v>0</v>
      </c>
      <c r="R101" s="349">
        <f t="shared" si="14"/>
        <v>0</v>
      </c>
      <c r="S101" s="349">
        <f t="shared" si="15"/>
        <v>0</v>
      </c>
      <c r="T101" s="349">
        <f t="shared" si="16"/>
        <v>0</v>
      </c>
      <c r="U101" s="349">
        <f t="shared" si="17"/>
        <v>0</v>
      </c>
      <c r="V101" s="349">
        <f t="shared" si="18"/>
        <v>0</v>
      </c>
      <c r="W101" s="349">
        <f t="shared" si="19"/>
        <v>0</v>
      </c>
      <c r="X101" s="349">
        <f t="shared" si="20"/>
        <v>0</v>
      </c>
      <c r="Y101" s="349">
        <f t="shared" si="21"/>
        <v>0</v>
      </c>
      <c r="Z101" s="349">
        <f t="shared" si="22"/>
        <v>0</v>
      </c>
      <c r="AA101" s="349">
        <f t="shared" si="23"/>
        <v>0</v>
      </c>
      <c r="AB101" s="349">
        <f t="shared" si="24"/>
        <v>0</v>
      </c>
      <c r="AC101" s="349">
        <f t="shared" si="25"/>
        <v>0</v>
      </c>
      <c r="AD101" s="349">
        <f t="shared" si="26"/>
        <v>0</v>
      </c>
      <c r="AE101" s="349">
        <f t="shared" si="27"/>
        <v>0</v>
      </c>
      <c r="AF101" s="349">
        <f t="shared" si="28"/>
        <v>0</v>
      </c>
      <c r="AG101" s="349">
        <f t="shared" si="29"/>
        <v>0</v>
      </c>
      <c r="AH101" s="349">
        <f t="shared" si="30"/>
        <v>0</v>
      </c>
    </row>
    <row r="102" spans="1:34" ht="11.25">
      <c r="A102" s="348">
        <v>860</v>
      </c>
      <c r="B102" s="348" t="s">
        <v>245</v>
      </c>
      <c r="C102" s="349" t="s">
        <v>246</v>
      </c>
      <c r="D102" s="349">
        <f t="shared" si="0"/>
        <v>0</v>
      </c>
      <c r="E102" s="349">
        <f t="shared" si="1"/>
        <v>0</v>
      </c>
      <c r="F102" s="349">
        <f t="shared" si="2"/>
        <v>0</v>
      </c>
      <c r="G102" s="349">
        <f t="shared" si="3"/>
        <v>0</v>
      </c>
      <c r="H102" s="349">
        <f t="shared" si="4"/>
        <v>0</v>
      </c>
      <c r="I102" s="349">
        <f t="shared" si="5"/>
        <v>0</v>
      </c>
      <c r="J102" s="349">
        <f t="shared" si="6"/>
        <v>0</v>
      </c>
      <c r="K102" s="349">
        <f t="shared" si="7"/>
        <v>0</v>
      </c>
      <c r="L102" s="349">
        <f t="shared" si="8"/>
        <v>0</v>
      </c>
      <c r="M102" s="349">
        <f t="shared" si="9"/>
        <v>0</v>
      </c>
      <c r="N102" s="349">
        <f t="shared" si="10"/>
        <v>0</v>
      </c>
      <c r="O102" s="349">
        <f t="shared" si="11"/>
        <v>0</v>
      </c>
      <c r="P102" s="349">
        <f t="shared" si="12"/>
        <v>0</v>
      </c>
      <c r="Q102" s="349">
        <f t="shared" si="13"/>
        <v>0</v>
      </c>
      <c r="R102" s="349">
        <f t="shared" si="14"/>
        <v>0</v>
      </c>
      <c r="S102" s="349">
        <f t="shared" si="15"/>
        <v>0</v>
      </c>
      <c r="T102" s="349">
        <f t="shared" si="16"/>
        <v>0</v>
      </c>
      <c r="U102" s="349">
        <f t="shared" si="17"/>
        <v>0</v>
      </c>
      <c r="V102" s="349">
        <f t="shared" si="18"/>
        <v>0</v>
      </c>
      <c r="W102" s="349">
        <f t="shared" si="19"/>
        <v>0</v>
      </c>
      <c r="X102" s="349">
        <f t="shared" si="20"/>
        <v>0</v>
      </c>
      <c r="Y102" s="349">
        <f t="shared" si="21"/>
        <v>0</v>
      </c>
      <c r="Z102" s="349">
        <f t="shared" si="22"/>
        <v>0</v>
      </c>
      <c r="AA102" s="349">
        <f t="shared" si="23"/>
        <v>0</v>
      </c>
      <c r="AB102" s="349">
        <f t="shared" si="24"/>
        <v>0</v>
      </c>
      <c r="AC102" s="349">
        <f t="shared" si="25"/>
        <v>0</v>
      </c>
      <c r="AD102" s="349">
        <f t="shared" si="26"/>
        <v>0</v>
      </c>
      <c r="AE102" s="349">
        <f t="shared" si="27"/>
        <v>0</v>
      </c>
      <c r="AF102" s="349">
        <f t="shared" si="28"/>
        <v>0</v>
      </c>
      <c r="AG102" s="349">
        <f t="shared" si="29"/>
        <v>0</v>
      </c>
      <c r="AH102" s="349">
        <f t="shared" si="30"/>
        <v>0</v>
      </c>
    </row>
    <row r="103" spans="1:34" ht="11.25">
      <c r="A103" s="348">
        <v>870</v>
      </c>
      <c r="B103" s="348">
        <v>14</v>
      </c>
      <c r="C103" s="349" t="s">
        <v>248</v>
      </c>
      <c r="D103" s="349">
        <f t="shared" si="0"/>
        <v>0</v>
      </c>
      <c r="E103" s="349">
        <f t="shared" si="1"/>
        <v>0</v>
      </c>
      <c r="F103" s="349">
        <f t="shared" si="2"/>
        <v>0</v>
      </c>
      <c r="G103" s="349">
        <f t="shared" si="3"/>
        <v>0</v>
      </c>
      <c r="H103" s="349">
        <f t="shared" si="4"/>
        <v>0</v>
      </c>
      <c r="I103" s="349">
        <f t="shared" si="5"/>
        <v>0</v>
      </c>
      <c r="J103" s="349">
        <f t="shared" si="6"/>
        <v>0</v>
      </c>
      <c r="K103" s="349">
        <f t="shared" si="7"/>
        <v>0</v>
      </c>
      <c r="L103" s="349">
        <f t="shared" si="8"/>
        <v>0</v>
      </c>
      <c r="M103" s="349">
        <f t="shared" si="9"/>
        <v>0</v>
      </c>
      <c r="N103" s="349">
        <f t="shared" si="10"/>
        <v>0</v>
      </c>
      <c r="O103" s="349">
        <f t="shared" si="11"/>
        <v>0</v>
      </c>
      <c r="P103" s="349">
        <f t="shared" si="12"/>
        <v>0</v>
      </c>
      <c r="Q103" s="349">
        <f t="shared" si="13"/>
        <v>0</v>
      </c>
      <c r="R103" s="349">
        <f t="shared" si="14"/>
        <v>0</v>
      </c>
      <c r="S103" s="349">
        <f t="shared" si="15"/>
        <v>0</v>
      </c>
      <c r="T103" s="349">
        <f t="shared" si="16"/>
        <v>0</v>
      </c>
      <c r="U103" s="349">
        <f t="shared" si="17"/>
        <v>0</v>
      </c>
      <c r="V103" s="349">
        <f t="shared" si="18"/>
        <v>0</v>
      </c>
      <c r="W103" s="349">
        <f t="shared" si="19"/>
        <v>0</v>
      </c>
      <c r="X103" s="349">
        <f t="shared" si="20"/>
        <v>0</v>
      </c>
      <c r="Y103" s="349">
        <f t="shared" si="21"/>
        <v>0</v>
      </c>
      <c r="Z103" s="349">
        <f t="shared" si="22"/>
        <v>0</v>
      </c>
      <c r="AA103" s="349">
        <f t="shared" si="23"/>
        <v>0</v>
      </c>
      <c r="AB103" s="349">
        <f t="shared" si="24"/>
        <v>0</v>
      </c>
      <c r="AC103" s="349">
        <f t="shared" si="25"/>
        <v>0</v>
      </c>
      <c r="AD103" s="349">
        <f t="shared" si="26"/>
        <v>0</v>
      </c>
      <c r="AE103" s="349">
        <f t="shared" si="27"/>
        <v>0</v>
      </c>
      <c r="AF103" s="349">
        <f t="shared" si="28"/>
        <v>0</v>
      </c>
      <c r="AG103" s="349">
        <f t="shared" si="29"/>
        <v>0</v>
      </c>
      <c r="AH103" s="349">
        <f t="shared" si="30"/>
        <v>0</v>
      </c>
    </row>
    <row r="104" spans="1:34" ht="11.25">
      <c r="A104" s="348">
        <v>880</v>
      </c>
      <c r="B104" s="348" t="s">
        <v>249</v>
      </c>
      <c r="C104" s="349" t="s">
        <v>250</v>
      </c>
      <c r="D104" s="349">
        <f t="shared" si="0"/>
        <v>0</v>
      </c>
      <c r="E104" s="349">
        <f t="shared" si="1"/>
        <v>0</v>
      </c>
      <c r="F104" s="349">
        <f t="shared" si="2"/>
        <v>0</v>
      </c>
      <c r="G104" s="349">
        <f t="shared" si="3"/>
        <v>0</v>
      </c>
      <c r="H104" s="349">
        <f t="shared" si="4"/>
        <v>0</v>
      </c>
      <c r="I104" s="349">
        <f t="shared" si="5"/>
        <v>0</v>
      </c>
      <c r="J104" s="349">
        <f t="shared" si="6"/>
        <v>0</v>
      </c>
      <c r="K104" s="349">
        <f t="shared" si="7"/>
        <v>0</v>
      </c>
      <c r="L104" s="349">
        <f t="shared" si="8"/>
        <v>0</v>
      </c>
      <c r="M104" s="349">
        <f t="shared" si="9"/>
        <v>0</v>
      </c>
      <c r="N104" s="349">
        <f t="shared" si="10"/>
        <v>0</v>
      </c>
      <c r="O104" s="349">
        <f t="shared" si="11"/>
        <v>0</v>
      </c>
      <c r="P104" s="349">
        <f t="shared" si="12"/>
        <v>0</v>
      </c>
      <c r="Q104" s="349">
        <f t="shared" si="13"/>
        <v>0</v>
      </c>
      <c r="R104" s="349">
        <f t="shared" si="14"/>
        <v>0</v>
      </c>
      <c r="S104" s="349">
        <f t="shared" si="15"/>
        <v>0</v>
      </c>
      <c r="T104" s="349">
        <f t="shared" si="16"/>
        <v>0</v>
      </c>
      <c r="U104" s="349">
        <f t="shared" si="17"/>
        <v>0</v>
      </c>
      <c r="V104" s="349">
        <f t="shared" si="18"/>
        <v>0</v>
      </c>
      <c r="W104" s="349">
        <f t="shared" si="19"/>
        <v>0</v>
      </c>
      <c r="X104" s="349">
        <f t="shared" si="20"/>
        <v>0</v>
      </c>
      <c r="Y104" s="349">
        <f t="shared" si="21"/>
        <v>0</v>
      </c>
      <c r="Z104" s="349">
        <f t="shared" si="22"/>
        <v>0</v>
      </c>
      <c r="AA104" s="349">
        <f t="shared" si="23"/>
        <v>0</v>
      </c>
      <c r="AB104" s="349">
        <f t="shared" si="24"/>
        <v>0</v>
      </c>
      <c r="AC104" s="349">
        <f t="shared" si="25"/>
        <v>0</v>
      </c>
      <c r="AD104" s="349">
        <f t="shared" si="26"/>
        <v>0</v>
      </c>
      <c r="AE104" s="349">
        <f t="shared" si="27"/>
        <v>0</v>
      </c>
      <c r="AF104" s="349">
        <f t="shared" si="28"/>
        <v>0</v>
      </c>
      <c r="AG104" s="349">
        <f t="shared" si="29"/>
        <v>0</v>
      </c>
      <c r="AH104" s="349">
        <f t="shared" si="30"/>
        <v>0</v>
      </c>
    </row>
    <row r="105" spans="1:34" ht="11.25">
      <c r="A105" s="348">
        <v>890</v>
      </c>
      <c r="B105" s="348" t="s">
        <v>252</v>
      </c>
      <c r="C105" s="349" t="s">
        <v>253</v>
      </c>
      <c r="D105" s="349">
        <f t="shared" si="0"/>
        <v>0</v>
      </c>
      <c r="E105" s="349">
        <f t="shared" si="1"/>
        <v>0</v>
      </c>
      <c r="F105" s="349">
        <f t="shared" si="2"/>
        <v>0</v>
      </c>
      <c r="G105" s="349">
        <f t="shared" si="3"/>
        <v>0</v>
      </c>
      <c r="H105" s="349">
        <f t="shared" si="4"/>
        <v>0</v>
      </c>
      <c r="I105" s="349">
        <f t="shared" si="5"/>
        <v>0</v>
      </c>
      <c r="J105" s="349">
        <f t="shared" si="6"/>
        <v>0</v>
      </c>
      <c r="K105" s="349">
        <f t="shared" si="7"/>
        <v>0</v>
      </c>
      <c r="L105" s="349">
        <f t="shared" si="8"/>
        <v>0</v>
      </c>
      <c r="M105" s="349">
        <f t="shared" si="9"/>
        <v>0</v>
      </c>
      <c r="N105" s="349">
        <f t="shared" si="10"/>
        <v>0</v>
      </c>
      <c r="O105" s="349">
        <f t="shared" si="11"/>
        <v>0</v>
      </c>
      <c r="P105" s="349">
        <f t="shared" si="12"/>
        <v>0</v>
      </c>
      <c r="Q105" s="349">
        <f t="shared" si="13"/>
        <v>0</v>
      </c>
      <c r="R105" s="349">
        <f t="shared" si="14"/>
        <v>0</v>
      </c>
      <c r="S105" s="349">
        <f t="shared" si="15"/>
        <v>0</v>
      </c>
      <c r="T105" s="349">
        <f t="shared" si="16"/>
        <v>0</v>
      </c>
      <c r="U105" s="349">
        <f t="shared" si="17"/>
        <v>0</v>
      </c>
      <c r="V105" s="349">
        <f t="shared" si="18"/>
        <v>0</v>
      </c>
      <c r="W105" s="349">
        <f t="shared" si="19"/>
        <v>0</v>
      </c>
      <c r="X105" s="349">
        <f t="shared" si="20"/>
        <v>0</v>
      </c>
      <c r="Y105" s="349">
        <f t="shared" si="21"/>
        <v>0</v>
      </c>
      <c r="Z105" s="349">
        <f t="shared" si="22"/>
        <v>0</v>
      </c>
      <c r="AA105" s="349">
        <f t="shared" si="23"/>
        <v>0</v>
      </c>
      <c r="AB105" s="349">
        <f t="shared" si="24"/>
        <v>0</v>
      </c>
      <c r="AC105" s="349">
        <f t="shared" si="25"/>
        <v>0</v>
      </c>
      <c r="AD105" s="349">
        <f t="shared" si="26"/>
        <v>0</v>
      </c>
      <c r="AE105" s="349">
        <f t="shared" si="27"/>
        <v>0</v>
      </c>
      <c r="AF105" s="349">
        <f t="shared" si="28"/>
        <v>0</v>
      </c>
      <c r="AG105" s="349">
        <f t="shared" si="29"/>
        <v>0</v>
      </c>
      <c r="AH105" s="349">
        <f t="shared" si="30"/>
        <v>0</v>
      </c>
    </row>
    <row r="106" spans="1:34" ht="11.25">
      <c r="A106" s="348">
        <v>900</v>
      </c>
      <c r="B106" s="348" t="s">
        <v>255</v>
      </c>
      <c r="C106" s="349" t="s">
        <v>256</v>
      </c>
      <c r="D106" s="349">
        <f t="shared" si="0"/>
        <v>0</v>
      </c>
      <c r="E106" s="349">
        <f t="shared" si="1"/>
        <v>0</v>
      </c>
      <c r="F106" s="349">
        <f t="shared" si="2"/>
        <v>0</v>
      </c>
      <c r="G106" s="349">
        <f t="shared" si="3"/>
        <v>0</v>
      </c>
      <c r="H106" s="349">
        <f t="shared" si="4"/>
        <v>0</v>
      </c>
      <c r="I106" s="349">
        <f t="shared" si="5"/>
        <v>0</v>
      </c>
      <c r="J106" s="349">
        <f t="shared" si="6"/>
        <v>0</v>
      </c>
      <c r="K106" s="349">
        <f t="shared" si="7"/>
        <v>0</v>
      </c>
      <c r="L106" s="349">
        <f t="shared" si="8"/>
        <v>0</v>
      </c>
      <c r="M106" s="349">
        <f t="shared" si="9"/>
        <v>0</v>
      </c>
      <c r="N106" s="349">
        <f t="shared" si="10"/>
        <v>0</v>
      </c>
      <c r="O106" s="349">
        <f t="shared" si="11"/>
        <v>0</v>
      </c>
      <c r="P106" s="349">
        <f t="shared" si="12"/>
        <v>0</v>
      </c>
      <c r="Q106" s="349">
        <f t="shared" si="13"/>
        <v>0</v>
      </c>
      <c r="R106" s="349">
        <f t="shared" si="14"/>
        <v>0</v>
      </c>
      <c r="S106" s="349">
        <f t="shared" si="15"/>
        <v>0</v>
      </c>
      <c r="T106" s="349">
        <f t="shared" si="16"/>
        <v>0</v>
      </c>
      <c r="U106" s="349">
        <f t="shared" si="17"/>
        <v>0</v>
      </c>
      <c r="V106" s="349">
        <f t="shared" si="18"/>
        <v>0</v>
      </c>
      <c r="W106" s="349">
        <f t="shared" si="19"/>
        <v>0</v>
      </c>
      <c r="X106" s="349">
        <f t="shared" si="20"/>
        <v>0</v>
      </c>
      <c r="Y106" s="349">
        <f t="shared" si="21"/>
        <v>0</v>
      </c>
      <c r="Z106" s="349">
        <f t="shared" si="22"/>
        <v>0</v>
      </c>
      <c r="AA106" s="349">
        <f t="shared" si="23"/>
        <v>0</v>
      </c>
      <c r="AB106" s="349">
        <f t="shared" si="24"/>
        <v>0</v>
      </c>
      <c r="AC106" s="349">
        <f t="shared" si="25"/>
        <v>0</v>
      </c>
      <c r="AD106" s="349">
        <f t="shared" si="26"/>
        <v>0</v>
      </c>
      <c r="AE106" s="349">
        <f t="shared" si="27"/>
        <v>0</v>
      </c>
      <c r="AF106" s="349">
        <f t="shared" si="28"/>
        <v>0</v>
      </c>
      <c r="AG106" s="349">
        <f t="shared" si="29"/>
        <v>0</v>
      </c>
      <c r="AH106" s="349">
        <f t="shared" si="30"/>
        <v>0</v>
      </c>
    </row>
    <row r="107" spans="1:34" ht="11.25">
      <c r="A107" s="348">
        <v>910</v>
      </c>
      <c r="B107" s="348" t="s">
        <v>258</v>
      </c>
      <c r="C107" s="349" t="s">
        <v>259</v>
      </c>
      <c r="D107" s="349">
        <f t="shared" si="0"/>
        <v>0</v>
      </c>
      <c r="E107" s="349">
        <f t="shared" si="1"/>
        <v>0</v>
      </c>
      <c r="F107" s="349">
        <f t="shared" si="2"/>
        <v>0</v>
      </c>
      <c r="G107" s="349">
        <f t="shared" si="3"/>
        <v>0</v>
      </c>
      <c r="H107" s="349">
        <f t="shared" si="4"/>
        <v>0</v>
      </c>
      <c r="I107" s="349">
        <f t="shared" si="5"/>
        <v>0</v>
      </c>
      <c r="J107" s="349">
        <f t="shared" si="6"/>
        <v>0</v>
      </c>
      <c r="K107" s="349">
        <f t="shared" si="7"/>
        <v>0</v>
      </c>
      <c r="L107" s="349">
        <f t="shared" si="8"/>
        <v>0</v>
      </c>
      <c r="M107" s="349">
        <f t="shared" si="9"/>
        <v>0</v>
      </c>
      <c r="N107" s="349">
        <f t="shared" si="10"/>
        <v>0</v>
      </c>
      <c r="O107" s="349">
        <f t="shared" si="11"/>
        <v>0</v>
      </c>
      <c r="P107" s="349">
        <f t="shared" si="12"/>
        <v>0</v>
      </c>
      <c r="Q107" s="349">
        <f t="shared" si="13"/>
        <v>0</v>
      </c>
      <c r="R107" s="349">
        <f t="shared" si="14"/>
        <v>0</v>
      </c>
      <c r="S107" s="349">
        <f t="shared" si="15"/>
        <v>0</v>
      </c>
      <c r="T107" s="349">
        <f t="shared" si="16"/>
        <v>0</v>
      </c>
      <c r="U107" s="349">
        <f t="shared" si="17"/>
        <v>0</v>
      </c>
      <c r="V107" s="349">
        <f t="shared" si="18"/>
        <v>0</v>
      </c>
      <c r="W107" s="349">
        <f t="shared" si="19"/>
        <v>0</v>
      </c>
      <c r="X107" s="349">
        <f t="shared" si="20"/>
        <v>0</v>
      </c>
      <c r="Y107" s="349">
        <f t="shared" si="21"/>
        <v>0</v>
      </c>
      <c r="Z107" s="349">
        <f t="shared" si="22"/>
        <v>0</v>
      </c>
      <c r="AA107" s="349">
        <f t="shared" si="23"/>
        <v>0</v>
      </c>
      <c r="AB107" s="349">
        <f t="shared" si="24"/>
        <v>0</v>
      </c>
      <c r="AC107" s="349">
        <f t="shared" si="25"/>
        <v>0</v>
      </c>
      <c r="AD107" s="349">
        <f t="shared" si="26"/>
        <v>0</v>
      </c>
      <c r="AE107" s="349">
        <f t="shared" si="27"/>
        <v>0</v>
      </c>
      <c r="AF107" s="349">
        <f t="shared" si="28"/>
        <v>0</v>
      </c>
      <c r="AG107" s="349">
        <f t="shared" si="29"/>
        <v>0</v>
      </c>
      <c r="AH107" s="349">
        <f t="shared" si="30"/>
        <v>0</v>
      </c>
    </row>
    <row r="108" spans="1:34" ht="11.25">
      <c r="A108" s="348">
        <v>920</v>
      </c>
      <c r="B108" s="348" t="s">
        <v>261</v>
      </c>
      <c r="C108" s="349" t="s">
        <v>262</v>
      </c>
      <c r="D108" s="349">
        <f t="shared" si="0"/>
        <v>0</v>
      </c>
      <c r="E108" s="349">
        <f t="shared" si="1"/>
        <v>0</v>
      </c>
      <c r="F108" s="349">
        <f t="shared" si="2"/>
        <v>0</v>
      </c>
      <c r="G108" s="349">
        <f t="shared" si="3"/>
        <v>0</v>
      </c>
      <c r="H108" s="349">
        <f t="shared" si="4"/>
        <v>0</v>
      </c>
      <c r="I108" s="349">
        <f t="shared" si="5"/>
        <v>0</v>
      </c>
      <c r="J108" s="349">
        <f t="shared" si="6"/>
        <v>0</v>
      </c>
      <c r="K108" s="349">
        <f t="shared" si="7"/>
        <v>0</v>
      </c>
      <c r="L108" s="349">
        <f t="shared" si="8"/>
        <v>0</v>
      </c>
      <c r="M108" s="349">
        <f t="shared" si="9"/>
        <v>0</v>
      </c>
      <c r="N108" s="349">
        <f t="shared" si="10"/>
        <v>0</v>
      </c>
      <c r="O108" s="349">
        <f t="shared" si="11"/>
        <v>0</v>
      </c>
      <c r="P108" s="349">
        <f t="shared" si="12"/>
        <v>0</v>
      </c>
      <c r="Q108" s="349">
        <f t="shared" si="13"/>
        <v>0</v>
      </c>
      <c r="R108" s="349">
        <f t="shared" si="14"/>
        <v>0</v>
      </c>
      <c r="S108" s="349">
        <f t="shared" si="15"/>
        <v>0</v>
      </c>
      <c r="T108" s="349">
        <f t="shared" si="16"/>
        <v>0</v>
      </c>
      <c r="U108" s="349">
        <f t="shared" si="17"/>
        <v>0</v>
      </c>
      <c r="V108" s="349">
        <f t="shared" si="18"/>
        <v>0</v>
      </c>
      <c r="W108" s="349">
        <f t="shared" si="19"/>
        <v>0</v>
      </c>
      <c r="X108" s="349">
        <f t="shared" si="20"/>
        <v>0</v>
      </c>
      <c r="Y108" s="349">
        <f t="shared" si="21"/>
        <v>0</v>
      </c>
      <c r="Z108" s="349">
        <f t="shared" si="22"/>
        <v>0</v>
      </c>
      <c r="AA108" s="349">
        <f t="shared" si="23"/>
        <v>0</v>
      </c>
      <c r="AB108" s="349">
        <f t="shared" si="24"/>
        <v>0</v>
      </c>
      <c r="AC108" s="349">
        <f t="shared" si="25"/>
        <v>0</v>
      </c>
      <c r="AD108" s="349">
        <f t="shared" si="26"/>
        <v>0</v>
      </c>
      <c r="AE108" s="349">
        <f t="shared" si="27"/>
        <v>0</v>
      </c>
      <c r="AF108" s="349">
        <f t="shared" si="28"/>
        <v>0</v>
      </c>
      <c r="AG108" s="349">
        <f t="shared" si="29"/>
        <v>0</v>
      </c>
      <c r="AH108" s="349">
        <f t="shared" si="30"/>
        <v>0</v>
      </c>
    </row>
    <row r="109" spans="1:34" ht="11.25">
      <c r="A109" s="348">
        <v>930</v>
      </c>
      <c r="B109" s="348" t="s">
        <v>264</v>
      </c>
      <c r="C109" s="349" t="s">
        <v>265</v>
      </c>
      <c r="D109" s="349">
        <f t="shared" si="0"/>
        <v>0</v>
      </c>
      <c r="E109" s="349">
        <f t="shared" si="1"/>
        <v>0</v>
      </c>
      <c r="F109" s="349">
        <f t="shared" si="2"/>
        <v>0</v>
      </c>
      <c r="G109" s="349">
        <f t="shared" si="3"/>
        <v>0</v>
      </c>
      <c r="H109" s="349">
        <f t="shared" si="4"/>
        <v>0</v>
      </c>
      <c r="I109" s="349">
        <f t="shared" si="5"/>
        <v>0</v>
      </c>
      <c r="J109" s="349">
        <f t="shared" si="6"/>
        <v>0</v>
      </c>
      <c r="K109" s="349">
        <f t="shared" si="7"/>
        <v>0</v>
      </c>
      <c r="L109" s="349">
        <f t="shared" si="8"/>
        <v>0</v>
      </c>
      <c r="M109" s="349">
        <f t="shared" si="9"/>
        <v>0</v>
      </c>
      <c r="N109" s="349">
        <f t="shared" si="10"/>
        <v>0</v>
      </c>
      <c r="O109" s="349">
        <f t="shared" si="11"/>
        <v>0</v>
      </c>
      <c r="P109" s="349">
        <f t="shared" si="12"/>
        <v>0</v>
      </c>
      <c r="Q109" s="349">
        <f t="shared" si="13"/>
        <v>0</v>
      </c>
      <c r="R109" s="349">
        <f t="shared" si="14"/>
        <v>0</v>
      </c>
      <c r="S109" s="349">
        <f t="shared" si="15"/>
        <v>0</v>
      </c>
      <c r="T109" s="349">
        <f t="shared" si="16"/>
        <v>0</v>
      </c>
      <c r="U109" s="349">
        <f t="shared" si="17"/>
        <v>0</v>
      </c>
      <c r="V109" s="349">
        <f t="shared" si="18"/>
        <v>0</v>
      </c>
      <c r="W109" s="349">
        <f t="shared" si="19"/>
        <v>0</v>
      </c>
      <c r="X109" s="349">
        <f t="shared" si="20"/>
        <v>0</v>
      </c>
      <c r="Y109" s="349">
        <f t="shared" si="21"/>
        <v>0</v>
      </c>
      <c r="Z109" s="349">
        <f t="shared" si="22"/>
        <v>0</v>
      </c>
      <c r="AA109" s="349">
        <f t="shared" si="23"/>
        <v>0</v>
      </c>
      <c r="AB109" s="349">
        <f t="shared" si="24"/>
        <v>0</v>
      </c>
      <c r="AC109" s="349">
        <f t="shared" si="25"/>
        <v>0</v>
      </c>
      <c r="AD109" s="349">
        <f t="shared" si="26"/>
        <v>0</v>
      </c>
      <c r="AE109" s="349">
        <f t="shared" si="27"/>
        <v>0</v>
      </c>
      <c r="AF109" s="349">
        <f t="shared" si="28"/>
        <v>0</v>
      </c>
      <c r="AG109" s="349">
        <f t="shared" si="29"/>
        <v>0</v>
      </c>
      <c r="AH109" s="349">
        <f t="shared" si="30"/>
        <v>0</v>
      </c>
    </row>
    <row r="110" spans="1:34" ht="11.25">
      <c r="A110" s="348">
        <v>940</v>
      </c>
      <c r="B110" s="348" t="s">
        <v>267</v>
      </c>
      <c r="C110" s="349" t="s">
        <v>268</v>
      </c>
      <c r="D110" s="349">
        <f t="shared" si="0"/>
        <v>0</v>
      </c>
      <c r="E110" s="349">
        <f t="shared" si="1"/>
        <v>0</v>
      </c>
      <c r="F110" s="349">
        <f t="shared" si="2"/>
        <v>0</v>
      </c>
      <c r="G110" s="349">
        <f t="shared" si="3"/>
        <v>0</v>
      </c>
      <c r="H110" s="349">
        <f t="shared" si="4"/>
        <v>0</v>
      </c>
      <c r="I110" s="349">
        <f t="shared" si="5"/>
        <v>0</v>
      </c>
      <c r="J110" s="349">
        <f t="shared" si="6"/>
        <v>0</v>
      </c>
      <c r="K110" s="349">
        <f t="shared" si="7"/>
        <v>0</v>
      </c>
      <c r="L110" s="349">
        <f t="shared" si="8"/>
        <v>0</v>
      </c>
      <c r="M110" s="349">
        <f t="shared" si="9"/>
        <v>0</v>
      </c>
      <c r="N110" s="349">
        <f t="shared" si="10"/>
        <v>0</v>
      </c>
      <c r="O110" s="349">
        <f t="shared" si="11"/>
        <v>0</v>
      </c>
      <c r="P110" s="349">
        <f t="shared" si="12"/>
        <v>0</v>
      </c>
      <c r="Q110" s="349">
        <f t="shared" si="13"/>
        <v>0</v>
      </c>
      <c r="R110" s="349">
        <f t="shared" si="14"/>
        <v>0</v>
      </c>
      <c r="S110" s="349">
        <f t="shared" si="15"/>
        <v>0</v>
      </c>
      <c r="T110" s="349">
        <f t="shared" si="16"/>
        <v>0</v>
      </c>
      <c r="U110" s="349">
        <f t="shared" si="17"/>
        <v>0</v>
      </c>
      <c r="V110" s="349">
        <f t="shared" si="18"/>
        <v>0</v>
      </c>
      <c r="W110" s="349">
        <f t="shared" si="19"/>
        <v>0</v>
      </c>
      <c r="X110" s="349">
        <f t="shared" si="20"/>
        <v>0</v>
      </c>
      <c r="Y110" s="349">
        <f t="shared" si="21"/>
        <v>0</v>
      </c>
      <c r="Z110" s="349">
        <f t="shared" si="22"/>
        <v>0</v>
      </c>
      <c r="AA110" s="349">
        <f t="shared" si="23"/>
        <v>0</v>
      </c>
      <c r="AB110" s="349">
        <f t="shared" si="24"/>
        <v>0</v>
      </c>
      <c r="AC110" s="349">
        <f t="shared" si="25"/>
        <v>0</v>
      </c>
      <c r="AD110" s="349">
        <f t="shared" si="26"/>
        <v>0</v>
      </c>
      <c r="AE110" s="349">
        <f t="shared" si="27"/>
        <v>0</v>
      </c>
      <c r="AF110" s="349">
        <f t="shared" si="28"/>
        <v>0</v>
      </c>
      <c r="AG110" s="349">
        <f t="shared" si="29"/>
        <v>0</v>
      </c>
      <c r="AH110" s="349">
        <f t="shared" si="30"/>
        <v>0</v>
      </c>
    </row>
    <row r="111" spans="1:34" ht="11.25">
      <c r="A111" s="348">
        <v>950</v>
      </c>
      <c r="B111" s="348">
        <v>15</v>
      </c>
      <c r="C111" s="349" t="s">
        <v>270</v>
      </c>
      <c r="D111" s="349">
        <f t="shared" si="0"/>
        <v>0</v>
      </c>
      <c r="E111" s="349">
        <f t="shared" si="1"/>
        <v>0</v>
      </c>
      <c r="F111" s="349">
        <f t="shared" si="2"/>
        <v>0</v>
      </c>
      <c r="G111" s="349">
        <f t="shared" si="3"/>
        <v>0</v>
      </c>
      <c r="H111" s="349">
        <f t="shared" si="4"/>
        <v>0</v>
      </c>
      <c r="I111" s="349">
        <f t="shared" si="5"/>
        <v>0</v>
      </c>
      <c r="J111" s="349">
        <f t="shared" si="6"/>
        <v>0</v>
      </c>
      <c r="K111" s="349">
        <f t="shared" si="7"/>
        <v>0</v>
      </c>
      <c r="L111" s="349">
        <f t="shared" si="8"/>
        <v>0</v>
      </c>
      <c r="M111" s="349">
        <f t="shared" si="9"/>
        <v>0</v>
      </c>
      <c r="N111" s="349">
        <f t="shared" si="10"/>
        <v>0</v>
      </c>
      <c r="O111" s="349">
        <f t="shared" si="11"/>
        <v>0</v>
      </c>
      <c r="P111" s="349">
        <f t="shared" si="12"/>
        <v>0</v>
      </c>
      <c r="Q111" s="349">
        <f t="shared" si="13"/>
        <v>0</v>
      </c>
      <c r="R111" s="349">
        <f t="shared" si="14"/>
        <v>0</v>
      </c>
      <c r="S111" s="349">
        <f t="shared" si="15"/>
        <v>0</v>
      </c>
      <c r="T111" s="349">
        <f t="shared" si="16"/>
        <v>0</v>
      </c>
      <c r="U111" s="349">
        <f t="shared" si="17"/>
        <v>0</v>
      </c>
      <c r="V111" s="349">
        <f t="shared" si="18"/>
        <v>0</v>
      </c>
      <c r="W111" s="349">
        <f t="shared" si="19"/>
        <v>0</v>
      </c>
      <c r="X111" s="349">
        <f t="shared" si="20"/>
        <v>0</v>
      </c>
      <c r="Y111" s="349">
        <f t="shared" si="21"/>
        <v>0</v>
      </c>
      <c r="Z111" s="349">
        <f t="shared" si="22"/>
        <v>0</v>
      </c>
      <c r="AA111" s="349">
        <f t="shared" si="23"/>
        <v>0</v>
      </c>
      <c r="AB111" s="349">
        <f t="shared" si="24"/>
        <v>0</v>
      </c>
      <c r="AC111" s="349">
        <f t="shared" si="25"/>
        <v>0</v>
      </c>
      <c r="AD111" s="349">
        <f t="shared" si="26"/>
        <v>0</v>
      </c>
      <c r="AE111" s="349">
        <f t="shared" si="27"/>
        <v>0</v>
      </c>
      <c r="AF111" s="349">
        <f t="shared" si="28"/>
        <v>0</v>
      </c>
      <c r="AG111" s="349">
        <f t="shared" si="29"/>
        <v>0</v>
      </c>
      <c r="AH111" s="349">
        <f t="shared" si="30"/>
        <v>0</v>
      </c>
    </row>
    <row r="112" spans="1:34" ht="11.25">
      <c r="A112" s="348">
        <v>960</v>
      </c>
      <c r="B112" s="348" t="s">
        <v>271</v>
      </c>
      <c r="C112" s="349" t="s">
        <v>272</v>
      </c>
      <c r="D112" s="349">
        <f t="shared" si="0"/>
        <v>0</v>
      </c>
      <c r="E112" s="349">
        <f t="shared" si="1"/>
        <v>0</v>
      </c>
      <c r="F112" s="349">
        <f t="shared" si="2"/>
        <v>0</v>
      </c>
      <c r="G112" s="349">
        <f t="shared" si="3"/>
        <v>0</v>
      </c>
      <c r="H112" s="349">
        <f t="shared" si="4"/>
        <v>0</v>
      </c>
      <c r="I112" s="349">
        <f t="shared" si="5"/>
        <v>0</v>
      </c>
      <c r="J112" s="349">
        <f t="shared" si="6"/>
        <v>0</v>
      </c>
      <c r="K112" s="349">
        <f t="shared" si="7"/>
        <v>0</v>
      </c>
      <c r="L112" s="349">
        <f t="shared" si="8"/>
        <v>0</v>
      </c>
      <c r="M112" s="349">
        <f t="shared" si="9"/>
        <v>0</v>
      </c>
      <c r="N112" s="349">
        <f t="shared" si="10"/>
        <v>0</v>
      </c>
      <c r="O112" s="349">
        <f t="shared" si="11"/>
        <v>0</v>
      </c>
      <c r="P112" s="349">
        <f t="shared" si="12"/>
        <v>0</v>
      </c>
      <c r="Q112" s="349">
        <f t="shared" si="13"/>
        <v>0</v>
      </c>
      <c r="R112" s="349">
        <f t="shared" si="14"/>
        <v>0</v>
      </c>
      <c r="S112" s="349">
        <f t="shared" si="15"/>
        <v>0</v>
      </c>
      <c r="T112" s="349">
        <f t="shared" si="16"/>
        <v>0</v>
      </c>
      <c r="U112" s="349">
        <f t="shared" si="17"/>
        <v>0</v>
      </c>
      <c r="V112" s="349">
        <f t="shared" si="18"/>
        <v>0</v>
      </c>
      <c r="W112" s="349">
        <f t="shared" si="19"/>
        <v>0</v>
      </c>
      <c r="X112" s="349">
        <f t="shared" si="20"/>
        <v>0</v>
      </c>
      <c r="Y112" s="349">
        <f t="shared" si="21"/>
        <v>0</v>
      </c>
      <c r="Z112" s="349">
        <f t="shared" si="22"/>
        <v>0</v>
      </c>
      <c r="AA112" s="349">
        <f t="shared" si="23"/>
        <v>0</v>
      </c>
      <c r="AB112" s="349">
        <f t="shared" si="24"/>
        <v>0</v>
      </c>
      <c r="AC112" s="349">
        <f t="shared" si="25"/>
        <v>0</v>
      </c>
      <c r="AD112" s="349">
        <f t="shared" si="26"/>
        <v>0</v>
      </c>
      <c r="AE112" s="349">
        <f t="shared" si="27"/>
        <v>0</v>
      </c>
      <c r="AF112" s="349">
        <f t="shared" si="28"/>
        <v>0</v>
      </c>
      <c r="AG112" s="349">
        <f t="shared" si="29"/>
        <v>0</v>
      </c>
      <c r="AH112" s="349">
        <f t="shared" si="30"/>
        <v>0</v>
      </c>
    </row>
    <row r="113" spans="1:34" ht="11.25">
      <c r="A113" s="348">
        <v>970</v>
      </c>
      <c r="B113" s="348" t="s">
        <v>274</v>
      </c>
      <c r="C113" s="349" t="s">
        <v>275</v>
      </c>
      <c r="D113" s="349">
        <f t="shared" si="0"/>
        <v>0</v>
      </c>
      <c r="E113" s="349">
        <f t="shared" si="1"/>
        <v>0</v>
      </c>
      <c r="F113" s="349">
        <f t="shared" si="2"/>
        <v>0</v>
      </c>
      <c r="G113" s="349">
        <f t="shared" si="3"/>
        <v>0</v>
      </c>
      <c r="H113" s="349">
        <f t="shared" si="4"/>
        <v>0</v>
      </c>
      <c r="I113" s="349">
        <f t="shared" si="5"/>
        <v>0</v>
      </c>
      <c r="J113" s="349">
        <f t="shared" si="6"/>
        <v>0</v>
      </c>
      <c r="K113" s="349">
        <f t="shared" si="7"/>
        <v>0</v>
      </c>
      <c r="L113" s="349">
        <f t="shared" si="8"/>
        <v>0</v>
      </c>
      <c r="M113" s="349">
        <f t="shared" si="9"/>
        <v>0</v>
      </c>
      <c r="N113" s="349">
        <f t="shared" si="10"/>
        <v>0</v>
      </c>
      <c r="O113" s="349">
        <f t="shared" si="11"/>
        <v>0</v>
      </c>
      <c r="P113" s="349">
        <f t="shared" si="12"/>
        <v>0</v>
      </c>
      <c r="Q113" s="349">
        <f t="shared" si="13"/>
        <v>0</v>
      </c>
      <c r="R113" s="349">
        <f t="shared" si="14"/>
        <v>0</v>
      </c>
      <c r="S113" s="349">
        <f t="shared" si="15"/>
        <v>0</v>
      </c>
      <c r="T113" s="349">
        <f t="shared" si="16"/>
        <v>0</v>
      </c>
      <c r="U113" s="349">
        <f t="shared" si="17"/>
        <v>0</v>
      </c>
      <c r="V113" s="349">
        <f t="shared" si="18"/>
        <v>0</v>
      </c>
      <c r="W113" s="349">
        <f t="shared" si="19"/>
        <v>0</v>
      </c>
      <c r="X113" s="349">
        <f t="shared" si="20"/>
        <v>0</v>
      </c>
      <c r="Y113" s="349">
        <f t="shared" si="21"/>
        <v>0</v>
      </c>
      <c r="Z113" s="349">
        <f t="shared" si="22"/>
        <v>0</v>
      </c>
      <c r="AA113" s="349">
        <f t="shared" si="23"/>
        <v>0</v>
      </c>
      <c r="AB113" s="349">
        <f t="shared" si="24"/>
        <v>0</v>
      </c>
      <c r="AC113" s="349">
        <f t="shared" si="25"/>
        <v>0</v>
      </c>
      <c r="AD113" s="349">
        <f t="shared" si="26"/>
        <v>0</v>
      </c>
      <c r="AE113" s="349">
        <f t="shared" si="27"/>
        <v>0</v>
      </c>
      <c r="AF113" s="349">
        <f t="shared" si="28"/>
        <v>0</v>
      </c>
      <c r="AG113" s="349">
        <f t="shared" si="29"/>
        <v>0</v>
      </c>
      <c r="AH113" s="349">
        <f t="shared" si="30"/>
        <v>0</v>
      </c>
    </row>
    <row r="114" spans="1:34" ht="11.25">
      <c r="A114" s="348">
        <v>980</v>
      </c>
      <c r="B114" s="348" t="s">
        <v>277</v>
      </c>
      <c r="C114" s="349" t="s">
        <v>453</v>
      </c>
      <c r="D114" s="349">
        <f t="shared" si="0"/>
        <v>0</v>
      </c>
      <c r="E114" s="349">
        <f t="shared" si="1"/>
        <v>0</v>
      </c>
      <c r="F114" s="349">
        <f t="shared" si="2"/>
        <v>0</v>
      </c>
      <c r="G114" s="349">
        <f t="shared" si="3"/>
        <v>0</v>
      </c>
      <c r="H114" s="349">
        <f t="shared" si="4"/>
        <v>0</v>
      </c>
      <c r="I114" s="349">
        <f t="shared" si="5"/>
        <v>0</v>
      </c>
      <c r="J114" s="349">
        <f t="shared" si="6"/>
        <v>0</v>
      </c>
      <c r="K114" s="349">
        <f t="shared" si="7"/>
        <v>0</v>
      </c>
      <c r="L114" s="349">
        <f t="shared" si="8"/>
        <v>0</v>
      </c>
      <c r="M114" s="349">
        <f t="shared" si="9"/>
        <v>0</v>
      </c>
      <c r="N114" s="349">
        <f t="shared" si="10"/>
        <v>0</v>
      </c>
      <c r="O114" s="349">
        <f t="shared" si="11"/>
        <v>0</v>
      </c>
      <c r="P114" s="349">
        <f t="shared" si="12"/>
        <v>0</v>
      </c>
      <c r="Q114" s="349">
        <f t="shared" si="13"/>
        <v>0</v>
      </c>
      <c r="R114" s="349">
        <f t="shared" si="14"/>
        <v>0</v>
      </c>
      <c r="S114" s="349">
        <f t="shared" si="15"/>
        <v>0</v>
      </c>
      <c r="T114" s="349">
        <f t="shared" si="16"/>
        <v>0</v>
      </c>
      <c r="U114" s="349">
        <f t="shared" si="17"/>
        <v>0</v>
      </c>
      <c r="V114" s="349">
        <f t="shared" si="18"/>
        <v>0</v>
      </c>
      <c r="W114" s="349">
        <f t="shared" si="19"/>
        <v>0</v>
      </c>
      <c r="X114" s="349">
        <f t="shared" si="20"/>
        <v>0</v>
      </c>
      <c r="Y114" s="349">
        <f t="shared" si="21"/>
        <v>0</v>
      </c>
      <c r="Z114" s="349">
        <f t="shared" si="22"/>
        <v>0</v>
      </c>
      <c r="AA114" s="349">
        <f t="shared" si="23"/>
        <v>0</v>
      </c>
      <c r="AB114" s="349">
        <f t="shared" si="24"/>
        <v>0</v>
      </c>
      <c r="AC114" s="349">
        <f t="shared" si="25"/>
        <v>0</v>
      </c>
      <c r="AD114" s="349">
        <f t="shared" si="26"/>
        <v>0</v>
      </c>
      <c r="AE114" s="349">
        <f t="shared" si="27"/>
        <v>0</v>
      </c>
      <c r="AF114" s="349">
        <f t="shared" si="28"/>
        <v>0</v>
      </c>
      <c r="AG114" s="349">
        <f t="shared" si="29"/>
        <v>0</v>
      </c>
      <c r="AH114" s="349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activeCellId="1" sqref="B1:Q115 A2"/>
    </sheetView>
  </sheetViews>
  <sheetFormatPr defaultColWidth="8.796875" defaultRowHeight="14.25"/>
  <cols>
    <col min="7" max="7" width="8.09765625" style="0" customWidth="1"/>
  </cols>
  <sheetData>
    <row r="1" spans="1:9" ht="15">
      <c r="A1" s="350" t="s">
        <v>454</v>
      </c>
      <c r="I1" s="351" t="e">
        <f>'Zał.1_WPF_bazowy'!#REF!&amp;" - "&amp;"WPF za lata "&amp;'Zał.1_WPF_bazowy'!#REF!&amp;" - Nr Uchwały JST: "&amp;'Zał.1_WPF_bazowy'!#REF!</f>
        <v>#REF!</v>
      </c>
    </row>
    <row r="67" spans="2:9" ht="15">
      <c r="B67" s="350" t="s">
        <v>455</v>
      </c>
      <c r="I67" s="350" t="s">
        <v>455</v>
      </c>
    </row>
    <row r="84" spans="2:9" ht="15">
      <c r="B84" s="350" t="s">
        <v>456</v>
      </c>
      <c r="I84" s="350" t="s">
        <v>456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B1:Q115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50" t="s">
        <v>457</v>
      </c>
      <c r="M1" s="352" t="s">
        <v>458</v>
      </c>
      <c r="N1" s="353">
        <f>MIN(M:M)</f>
        <v>2016</v>
      </c>
      <c r="P1" t="s">
        <v>459</v>
      </c>
      <c r="Q1">
        <f>MAX(M:M)</f>
        <v>2024</v>
      </c>
    </row>
    <row r="3" spans="1:16" ht="15">
      <c r="A3" s="354" t="s">
        <v>460</v>
      </c>
      <c r="B3" s="355" t="s">
        <v>461</v>
      </c>
      <c r="C3" s="355" t="s">
        <v>462</v>
      </c>
      <c r="D3" s="355" t="s">
        <v>463</v>
      </c>
      <c r="E3" s="355" t="s">
        <v>464</v>
      </c>
      <c r="F3" s="355" t="s">
        <v>465</v>
      </c>
      <c r="G3" s="355" t="s">
        <v>466</v>
      </c>
      <c r="H3" s="355" t="s">
        <v>467</v>
      </c>
      <c r="I3" s="355" t="s">
        <v>468</v>
      </c>
      <c r="J3" s="355" t="s">
        <v>469</v>
      </c>
      <c r="K3" s="355" t="s">
        <v>470</v>
      </c>
      <c r="L3" s="355" t="s">
        <v>471</v>
      </c>
      <c r="M3" s="355" t="s">
        <v>472</v>
      </c>
      <c r="N3" s="355" t="s">
        <v>473</v>
      </c>
      <c r="O3" s="355" t="s">
        <v>474</v>
      </c>
      <c r="P3" s="355" t="s">
        <v>475</v>
      </c>
    </row>
    <row r="4" spans="1:16" ht="14.25">
      <c r="A4" s="356">
        <v>2016</v>
      </c>
      <c r="B4" s="357" t="s">
        <v>476</v>
      </c>
      <c r="C4" s="357" t="s">
        <v>477</v>
      </c>
      <c r="D4" s="358">
        <v>1021011</v>
      </c>
      <c r="E4" s="358">
        <v>1</v>
      </c>
      <c r="F4" s="358"/>
      <c r="G4" s="358">
        <v>240</v>
      </c>
      <c r="H4" s="358">
        <v>4.2</v>
      </c>
      <c r="I4" s="358"/>
      <c r="J4" s="358" t="s">
        <v>77</v>
      </c>
      <c r="K4" s="359" t="b">
        <f aca="true" t="shared" si="0" ref="K4:K12">FALSE</f>
        <v>0</v>
      </c>
      <c r="L4" s="359">
        <v>4</v>
      </c>
      <c r="M4" s="360">
        <v>2020</v>
      </c>
      <c r="N4" s="361">
        <v>0</v>
      </c>
      <c r="O4" s="362">
        <v>42642</v>
      </c>
      <c r="P4" s="362">
        <v>42642</v>
      </c>
    </row>
    <row r="5" spans="1:16" ht="14.25">
      <c r="A5" s="356">
        <v>2016</v>
      </c>
      <c r="B5" s="357" t="s">
        <v>476</v>
      </c>
      <c r="C5" s="357" t="s">
        <v>477</v>
      </c>
      <c r="D5" s="358">
        <v>1021011</v>
      </c>
      <c r="E5" s="358">
        <v>1</v>
      </c>
      <c r="F5" s="358"/>
      <c r="G5" s="358">
        <v>240</v>
      </c>
      <c r="H5" s="358">
        <v>4.2</v>
      </c>
      <c r="I5" s="358"/>
      <c r="J5" s="358" t="s">
        <v>77</v>
      </c>
      <c r="K5" s="359" t="b">
        <f t="shared" si="0"/>
        <v>0</v>
      </c>
      <c r="L5" s="359">
        <v>2</v>
      </c>
      <c r="M5" s="360">
        <v>2018</v>
      </c>
      <c r="N5" s="361">
        <v>0</v>
      </c>
      <c r="O5" s="362">
        <v>42642</v>
      </c>
      <c r="P5" s="362">
        <v>42642</v>
      </c>
    </row>
    <row r="6" spans="1:16" ht="14.25">
      <c r="A6" s="356">
        <v>2016</v>
      </c>
      <c r="B6" s="357" t="s">
        <v>476</v>
      </c>
      <c r="C6" s="357" t="s">
        <v>477</v>
      </c>
      <c r="D6" s="358">
        <v>1021011</v>
      </c>
      <c r="E6" s="358">
        <v>1</v>
      </c>
      <c r="F6" s="358"/>
      <c r="G6" s="358">
        <v>240</v>
      </c>
      <c r="H6" s="358">
        <v>4.2</v>
      </c>
      <c r="I6" s="358"/>
      <c r="J6" s="358" t="s">
        <v>77</v>
      </c>
      <c r="K6" s="359" t="b">
        <f t="shared" si="0"/>
        <v>0</v>
      </c>
      <c r="L6" s="359">
        <v>1</v>
      </c>
      <c r="M6" s="360">
        <v>2017</v>
      </c>
      <c r="N6" s="361">
        <v>0</v>
      </c>
      <c r="O6" s="362">
        <v>42642</v>
      </c>
      <c r="P6" s="362">
        <v>42642</v>
      </c>
    </row>
    <row r="7" spans="1:16" ht="14.25">
      <c r="A7" s="356">
        <v>2016</v>
      </c>
      <c r="B7" s="357" t="s">
        <v>476</v>
      </c>
      <c r="C7" s="357" t="s">
        <v>477</v>
      </c>
      <c r="D7" s="358">
        <v>1021011</v>
      </c>
      <c r="E7" s="358">
        <v>1</v>
      </c>
      <c r="F7" s="358"/>
      <c r="G7" s="358">
        <v>240</v>
      </c>
      <c r="H7" s="358">
        <v>4.2</v>
      </c>
      <c r="I7" s="358"/>
      <c r="J7" s="358" t="s">
        <v>77</v>
      </c>
      <c r="K7" s="359" t="b">
        <f t="shared" si="0"/>
        <v>0</v>
      </c>
      <c r="L7" s="359">
        <v>0</v>
      </c>
      <c r="M7" s="360">
        <v>2016</v>
      </c>
      <c r="N7" s="361">
        <v>2403908.38</v>
      </c>
      <c r="O7" s="362">
        <v>42642</v>
      </c>
      <c r="P7" s="362">
        <v>42642</v>
      </c>
    </row>
    <row r="8" spans="1:16" ht="14.25">
      <c r="A8" s="356">
        <v>2016</v>
      </c>
      <c r="B8" s="357" t="s">
        <v>476</v>
      </c>
      <c r="C8" s="357" t="s">
        <v>477</v>
      </c>
      <c r="D8" s="358">
        <v>1021011</v>
      </c>
      <c r="E8" s="358">
        <v>1</v>
      </c>
      <c r="F8" s="358"/>
      <c r="G8" s="358">
        <v>240</v>
      </c>
      <c r="H8" s="358">
        <v>4.2</v>
      </c>
      <c r="I8" s="358"/>
      <c r="J8" s="358" t="s">
        <v>77</v>
      </c>
      <c r="K8" s="359" t="b">
        <f t="shared" si="0"/>
        <v>0</v>
      </c>
      <c r="L8" s="359">
        <v>7</v>
      </c>
      <c r="M8" s="360">
        <v>2023</v>
      </c>
      <c r="N8" s="361">
        <v>0</v>
      </c>
      <c r="O8" s="362">
        <v>42642</v>
      </c>
      <c r="P8" s="362">
        <v>42642</v>
      </c>
    </row>
    <row r="9" spans="1:16" ht="14.25">
      <c r="A9" s="356">
        <v>2016</v>
      </c>
      <c r="B9" s="357" t="s">
        <v>476</v>
      </c>
      <c r="C9" s="357" t="s">
        <v>477</v>
      </c>
      <c r="D9" s="358">
        <v>1021011</v>
      </c>
      <c r="E9" s="358">
        <v>1</v>
      </c>
      <c r="F9" s="358"/>
      <c r="G9" s="358">
        <v>240</v>
      </c>
      <c r="H9" s="358">
        <v>4.2</v>
      </c>
      <c r="I9" s="358"/>
      <c r="J9" s="358" t="s">
        <v>77</v>
      </c>
      <c r="K9" s="359" t="b">
        <f t="shared" si="0"/>
        <v>0</v>
      </c>
      <c r="L9" s="359">
        <v>6</v>
      </c>
      <c r="M9" s="360">
        <v>2022</v>
      </c>
      <c r="N9" s="361">
        <v>0</v>
      </c>
      <c r="O9" s="362">
        <v>42642</v>
      </c>
      <c r="P9" s="362">
        <v>42642</v>
      </c>
    </row>
    <row r="10" spans="1:16" ht="14.25">
      <c r="A10" s="356">
        <v>2016</v>
      </c>
      <c r="B10" s="357" t="s">
        <v>476</v>
      </c>
      <c r="C10" s="357" t="s">
        <v>477</v>
      </c>
      <c r="D10" s="358">
        <v>1021011</v>
      </c>
      <c r="E10" s="358">
        <v>1</v>
      </c>
      <c r="F10" s="358"/>
      <c r="G10" s="358">
        <v>240</v>
      </c>
      <c r="H10" s="358">
        <v>4.2</v>
      </c>
      <c r="I10" s="358"/>
      <c r="J10" s="358" t="s">
        <v>77</v>
      </c>
      <c r="K10" s="359" t="b">
        <f t="shared" si="0"/>
        <v>0</v>
      </c>
      <c r="L10" s="359">
        <v>8</v>
      </c>
      <c r="M10" s="360">
        <v>2024</v>
      </c>
      <c r="N10" s="361">
        <v>0</v>
      </c>
      <c r="O10" s="362">
        <v>42642</v>
      </c>
      <c r="P10" s="362">
        <v>42642</v>
      </c>
    </row>
    <row r="11" spans="1:16" ht="14.25">
      <c r="A11" s="356">
        <v>2016</v>
      </c>
      <c r="B11" s="357" t="s">
        <v>476</v>
      </c>
      <c r="C11" s="357" t="s">
        <v>477</v>
      </c>
      <c r="D11" s="358">
        <v>1021011</v>
      </c>
      <c r="E11" s="358">
        <v>1</v>
      </c>
      <c r="F11" s="358"/>
      <c r="G11" s="358">
        <v>240</v>
      </c>
      <c r="H11" s="358">
        <v>4.2</v>
      </c>
      <c r="I11" s="358"/>
      <c r="J11" s="358" t="s">
        <v>77</v>
      </c>
      <c r="K11" s="359" t="b">
        <f t="shared" si="0"/>
        <v>0</v>
      </c>
      <c r="L11" s="359">
        <v>5</v>
      </c>
      <c r="M11" s="360">
        <v>2021</v>
      </c>
      <c r="N11" s="361">
        <v>0</v>
      </c>
      <c r="O11" s="362">
        <v>42642</v>
      </c>
      <c r="P11" s="362">
        <v>42642</v>
      </c>
    </row>
    <row r="12" spans="1:16" ht="14.25">
      <c r="A12" s="356">
        <v>2016</v>
      </c>
      <c r="B12" s="357" t="s">
        <v>476</v>
      </c>
      <c r="C12" s="357" t="s">
        <v>477</v>
      </c>
      <c r="D12" s="358">
        <v>1021011</v>
      </c>
      <c r="E12" s="358">
        <v>1</v>
      </c>
      <c r="F12" s="358"/>
      <c r="G12" s="358">
        <v>240</v>
      </c>
      <c r="H12" s="358">
        <v>4.2</v>
      </c>
      <c r="I12" s="358"/>
      <c r="J12" s="358" t="s">
        <v>77</v>
      </c>
      <c r="K12" s="359" t="b">
        <f t="shared" si="0"/>
        <v>0</v>
      </c>
      <c r="L12" s="359">
        <v>3</v>
      </c>
      <c r="M12" s="360">
        <v>2019</v>
      </c>
      <c r="N12" s="361">
        <v>0</v>
      </c>
      <c r="O12" s="362">
        <v>42642</v>
      </c>
      <c r="P12" s="362">
        <v>42642</v>
      </c>
    </row>
    <row r="13" spans="1:16" ht="14.25">
      <c r="A13" s="356">
        <v>2016</v>
      </c>
      <c r="B13" s="357" t="s">
        <v>476</v>
      </c>
      <c r="C13" s="357" t="s">
        <v>477</v>
      </c>
      <c r="D13" s="358">
        <v>1021011</v>
      </c>
      <c r="E13" s="358">
        <v>1</v>
      </c>
      <c r="F13" s="358"/>
      <c r="G13" s="358">
        <v>830</v>
      </c>
      <c r="H13" s="358">
        <v>13.4</v>
      </c>
      <c r="I13" s="358"/>
      <c r="J13" s="358" t="s">
        <v>237</v>
      </c>
      <c r="K13" s="359" t="b">
        <f aca="true" t="shared" si="1" ref="K13:K30">TRUE</f>
        <v>1</v>
      </c>
      <c r="L13" s="359">
        <v>1</v>
      </c>
      <c r="M13" s="360">
        <v>2017</v>
      </c>
      <c r="N13" s="361">
        <v>0</v>
      </c>
      <c r="O13" s="362">
        <v>42642</v>
      </c>
      <c r="P13" s="362">
        <v>42642</v>
      </c>
    </row>
    <row r="14" spans="1:16" ht="14.25">
      <c r="A14" s="356">
        <v>2016</v>
      </c>
      <c r="B14" s="357" t="s">
        <v>476</v>
      </c>
      <c r="C14" s="357" t="s">
        <v>477</v>
      </c>
      <c r="D14" s="358">
        <v>1021011</v>
      </c>
      <c r="E14" s="358">
        <v>1</v>
      </c>
      <c r="F14" s="358"/>
      <c r="G14" s="358">
        <v>830</v>
      </c>
      <c r="H14" s="358">
        <v>13.4</v>
      </c>
      <c r="I14" s="358"/>
      <c r="J14" s="358" t="s">
        <v>237</v>
      </c>
      <c r="K14" s="359" t="b">
        <f t="shared" si="1"/>
        <v>1</v>
      </c>
      <c r="L14" s="359">
        <v>5</v>
      </c>
      <c r="M14" s="360">
        <v>2021</v>
      </c>
      <c r="N14" s="361">
        <v>0</v>
      </c>
      <c r="O14" s="362">
        <v>42642</v>
      </c>
      <c r="P14" s="362">
        <v>42642</v>
      </c>
    </row>
    <row r="15" spans="1:16" ht="14.25">
      <c r="A15" s="356">
        <v>2016</v>
      </c>
      <c r="B15" s="357" t="s">
        <v>476</v>
      </c>
      <c r="C15" s="357" t="s">
        <v>477</v>
      </c>
      <c r="D15" s="358">
        <v>1021011</v>
      </c>
      <c r="E15" s="358">
        <v>1</v>
      </c>
      <c r="F15" s="358"/>
      <c r="G15" s="358">
        <v>830</v>
      </c>
      <c r="H15" s="358">
        <v>13.4</v>
      </c>
      <c r="I15" s="358"/>
      <c r="J15" s="358" t="s">
        <v>237</v>
      </c>
      <c r="K15" s="359" t="b">
        <f t="shared" si="1"/>
        <v>1</v>
      </c>
      <c r="L15" s="359">
        <v>2</v>
      </c>
      <c r="M15" s="360">
        <v>2018</v>
      </c>
      <c r="N15" s="361">
        <v>0</v>
      </c>
      <c r="O15" s="362">
        <v>42642</v>
      </c>
      <c r="P15" s="362">
        <v>42642</v>
      </c>
    </row>
    <row r="16" spans="1:16" ht="14.25">
      <c r="A16" s="356">
        <v>2016</v>
      </c>
      <c r="B16" s="357" t="s">
        <v>476</v>
      </c>
      <c r="C16" s="357" t="s">
        <v>477</v>
      </c>
      <c r="D16" s="358">
        <v>1021011</v>
      </c>
      <c r="E16" s="358">
        <v>1</v>
      </c>
      <c r="F16" s="358"/>
      <c r="G16" s="358">
        <v>830</v>
      </c>
      <c r="H16" s="358">
        <v>13.4</v>
      </c>
      <c r="I16" s="358"/>
      <c r="J16" s="358" t="s">
        <v>237</v>
      </c>
      <c r="K16" s="359" t="b">
        <f t="shared" si="1"/>
        <v>1</v>
      </c>
      <c r="L16" s="359">
        <v>4</v>
      </c>
      <c r="M16" s="360">
        <v>2020</v>
      </c>
      <c r="N16" s="361">
        <v>0</v>
      </c>
      <c r="O16" s="362">
        <v>42642</v>
      </c>
      <c r="P16" s="362">
        <v>42642</v>
      </c>
    </row>
    <row r="17" spans="1:16" ht="14.25">
      <c r="A17" s="356">
        <v>2016</v>
      </c>
      <c r="B17" s="357" t="s">
        <v>476</v>
      </c>
      <c r="C17" s="357" t="s">
        <v>477</v>
      </c>
      <c r="D17" s="358">
        <v>1021011</v>
      </c>
      <c r="E17" s="358">
        <v>1</v>
      </c>
      <c r="F17" s="358"/>
      <c r="G17" s="358">
        <v>830</v>
      </c>
      <c r="H17" s="358">
        <v>13.4</v>
      </c>
      <c r="I17" s="358"/>
      <c r="J17" s="358" t="s">
        <v>237</v>
      </c>
      <c r="K17" s="359" t="b">
        <f t="shared" si="1"/>
        <v>1</v>
      </c>
      <c r="L17" s="359">
        <v>7</v>
      </c>
      <c r="M17" s="360">
        <v>2023</v>
      </c>
      <c r="N17" s="361">
        <v>0</v>
      </c>
      <c r="O17" s="362">
        <v>42642</v>
      </c>
      <c r="P17" s="362">
        <v>42642</v>
      </c>
    </row>
    <row r="18" spans="1:16" ht="14.25">
      <c r="A18" s="356">
        <v>2016</v>
      </c>
      <c r="B18" s="357" t="s">
        <v>476</v>
      </c>
      <c r="C18" s="357" t="s">
        <v>477</v>
      </c>
      <c r="D18" s="358">
        <v>1021011</v>
      </c>
      <c r="E18" s="358">
        <v>1</v>
      </c>
      <c r="F18" s="358"/>
      <c r="G18" s="358">
        <v>830</v>
      </c>
      <c r="H18" s="358">
        <v>13.4</v>
      </c>
      <c r="I18" s="358"/>
      <c r="J18" s="358" t="s">
        <v>237</v>
      </c>
      <c r="K18" s="359" t="b">
        <f t="shared" si="1"/>
        <v>1</v>
      </c>
      <c r="L18" s="359">
        <v>6</v>
      </c>
      <c r="M18" s="360">
        <v>2022</v>
      </c>
      <c r="N18" s="361">
        <v>0</v>
      </c>
      <c r="O18" s="362">
        <v>42642</v>
      </c>
      <c r="P18" s="362">
        <v>42642</v>
      </c>
    </row>
    <row r="19" spans="1:16" ht="14.25">
      <c r="A19" s="356">
        <v>2016</v>
      </c>
      <c r="B19" s="357" t="s">
        <v>476</v>
      </c>
      <c r="C19" s="357" t="s">
        <v>477</v>
      </c>
      <c r="D19" s="358">
        <v>1021011</v>
      </c>
      <c r="E19" s="358">
        <v>1</v>
      </c>
      <c r="F19" s="358"/>
      <c r="G19" s="358">
        <v>830</v>
      </c>
      <c r="H19" s="358">
        <v>13.4</v>
      </c>
      <c r="I19" s="358"/>
      <c r="J19" s="358" t="s">
        <v>237</v>
      </c>
      <c r="K19" s="359" t="b">
        <f t="shared" si="1"/>
        <v>1</v>
      </c>
      <c r="L19" s="359">
        <v>0</v>
      </c>
      <c r="M19" s="360">
        <v>2016</v>
      </c>
      <c r="N19" s="361">
        <v>0</v>
      </c>
      <c r="O19" s="362">
        <v>42642</v>
      </c>
      <c r="P19" s="362">
        <v>42642</v>
      </c>
    </row>
    <row r="20" spans="1:16" ht="14.25">
      <c r="A20" s="356">
        <v>2016</v>
      </c>
      <c r="B20" s="357" t="s">
        <v>476</v>
      </c>
      <c r="C20" s="357" t="s">
        <v>477</v>
      </c>
      <c r="D20" s="358">
        <v>1021011</v>
      </c>
      <c r="E20" s="358">
        <v>1</v>
      </c>
      <c r="F20" s="358"/>
      <c r="G20" s="358">
        <v>830</v>
      </c>
      <c r="H20" s="358">
        <v>13.4</v>
      </c>
      <c r="I20" s="358"/>
      <c r="J20" s="358" t="s">
        <v>237</v>
      </c>
      <c r="K20" s="359" t="b">
        <f t="shared" si="1"/>
        <v>1</v>
      </c>
      <c r="L20" s="359">
        <v>3</v>
      </c>
      <c r="M20" s="360">
        <v>2019</v>
      </c>
      <c r="N20" s="361">
        <v>0</v>
      </c>
      <c r="O20" s="362">
        <v>42642</v>
      </c>
      <c r="P20" s="362">
        <v>42642</v>
      </c>
    </row>
    <row r="21" spans="1:16" ht="14.25">
      <c r="A21" s="356">
        <v>2016</v>
      </c>
      <c r="B21" s="357" t="s">
        <v>476</v>
      </c>
      <c r="C21" s="357" t="s">
        <v>477</v>
      </c>
      <c r="D21" s="358">
        <v>1021011</v>
      </c>
      <c r="E21" s="358">
        <v>1</v>
      </c>
      <c r="F21" s="358"/>
      <c r="G21" s="358">
        <v>830</v>
      </c>
      <c r="H21" s="358">
        <v>13.4</v>
      </c>
      <c r="I21" s="358"/>
      <c r="J21" s="358" t="s">
        <v>237</v>
      </c>
      <c r="K21" s="359" t="b">
        <f t="shared" si="1"/>
        <v>1</v>
      </c>
      <c r="L21" s="359">
        <v>8</v>
      </c>
      <c r="M21" s="360">
        <v>2024</v>
      </c>
      <c r="N21" s="361">
        <v>0</v>
      </c>
      <c r="O21" s="362">
        <v>42642</v>
      </c>
      <c r="P21" s="362">
        <v>42642</v>
      </c>
    </row>
    <row r="22" spans="1:16" ht="14.25">
      <c r="A22" s="356">
        <v>2016</v>
      </c>
      <c r="B22" s="357" t="s">
        <v>476</v>
      </c>
      <c r="C22" s="357" t="s">
        <v>477</v>
      </c>
      <c r="D22" s="358">
        <v>1021011</v>
      </c>
      <c r="E22" s="358">
        <v>1</v>
      </c>
      <c r="F22" s="358"/>
      <c r="G22" s="358">
        <v>600</v>
      </c>
      <c r="H22" s="358">
        <v>11.3</v>
      </c>
      <c r="I22" s="358" t="s">
        <v>440</v>
      </c>
      <c r="J22" s="358" t="s">
        <v>155</v>
      </c>
      <c r="K22" s="359" t="b">
        <f t="shared" si="1"/>
        <v>1</v>
      </c>
      <c r="L22" s="359">
        <v>7</v>
      </c>
      <c r="M22" s="360">
        <v>2023</v>
      </c>
      <c r="N22" s="361">
        <v>0</v>
      </c>
      <c r="O22" s="362">
        <v>42642</v>
      </c>
      <c r="P22" s="362">
        <v>42642</v>
      </c>
    </row>
    <row r="23" spans="1:16" ht="14.25">
      <c r="A23" s="356">
        <v>2016</v>
      </c>
      <c r="B23" s="357" t="s">
        <v>476</v>
      </c>
      <c r="C23" s="357" t="s">
        <v>477</v>
      </c>
      <c r="D23" s="358">
        <v>1021011</v>
      </c>
      <c r="E23" s="358">
        <v>1</v>
      </c>
      <c r="F23" s="358"/>
      <c r="G23" s="358">
        <v>600</v>
      </c>
      <c r="H23" s="358">
        <v>11.3</v>
      </c>
      <c r="I23" s="358" t="s">
        <v>440</v>
      </c>
      <c r="J23" s="358" t="s">
        <v>155</v>
      </c>
      <c r="K23" s="359" t="b">
        <f t="shared" si="1"/>
        <v>1</v>
      </c>
      <c r="L23" s="359">
        <v>0</v>
      </c>
      <c r="M23" s="360">
        <v>2016</v>
      </c>
      <c r="N23" s="361">
        <v>383250</v>
      </c>
      <c r="O23" s="362">
        <v>42642</v>
      </c>
      <c r="P23" s="362">
        <v>42642</v>
      </c>
    </row>
    <row r="24" spans="1:16" ht="14.25">
      <c r="A24" s="356">
        <v>2016</v>
      </c>
      <c r="B24" s="357" t="s">
        <v>476</v>
      </c>
      <c r="C24" s="357" t="s">
        <v>477</v>
      </c>
      <c r="D24" s="358">
        <v>1021011</v>
      </c>
      <c r="E24" s="358">
        <v>1</v>
      </c>
      <c r="F24" s="358"/>
      <c r="G24" s="358">
        <v>600</v>
      </c>
      <c r="H24" s="358">
        <v>11.3</v>
      </c>
      <c r="I24" s="358" t="s">
        <v>440</v>
      </c>
      <c r="J24" s="358" t="s">
        <v>155</v>
      </c>
      <c r="K24" s="359" t="b">
        <f t="shared" si="1"/>
        <v>1</v>
      </c>
      <c r="L24" s="359">
        <v>4</v>
      </c>
      <c r="M24" s="360">
        <v>2020</v>
      </c>
      <c r="N24" s="361">
        <v>0</v>
      </c>
      <c r="O24" s="362">
        <v>42642</v>
      </c>
      <c r="P24" s="362">
        <v>42642</v>
      </c>
    </row>
    <row r="25" spans="1:16" ht="14.25">
      <c r="A25" s="356">
        <v>2016</v>
      </c>
      <c r="B25" s="357" t="s">
        <v>476</v>
      </c>
      <c r="C25" s="357" t="s">
        <v>477</v>
      </c>
      <c r="D25" s="358">
        <v>1021011</v>
      </c>
      <c r="E25" s="358">
        <v>1</v>
      </c>
      <c r="F25" s="358"/>
      <c r="G25" s="358">
        <v>600</v>
      </c>
      <c r="H25" s="358">
        <v>11.3</v>
      </c>
      <c r="I25" s="358" t="s">
        <v>440</v>
      </c>
      <c r="J25" s="358" t="s">
        <v>155</v>
      </c>
      <c r="K25" s="359" t="b">
        <f t="shared" si="1"/>
        <v>1</v>
      </c>
      <c r="L25" s="359">
        <v>8</v>
      </c>
      <c r="M25" s="360">
        <v>2024</v>
      </c>
      <c r="N25" s="361">
        <v>0</v>
      </c>
      <c r="O25" s="362">
        <v>42642</v>
      </c>
      <c r="P25" s="362">
        <v>42642</v>
      </c>
    </row>
    <row r="26" spans="1:16" ht="14.25">
      <c r="A26" s="356">
        <v>2016</v>
      </c>
      <c r="B26" s="357" t="s">
        <v>476</v>
      </c>
      <c r="C26" s="357" t="s">
        <v>477</v>
      </c>
      <c r="D26" s="358">
        <v>1021011</v>
      </c>
      <c r="E26" s="358">
        <v>1</v>
      </c>
      <c r="F26" s="358"/>
      <c r="G26" s="358">
        <v>600</v>
      </c>
      <c r="H26" s="358">
        <v>11.3</v>
      </c>
      <c r="I26" s="358" t="s">
        <v>440</v>
      </c>
      <c r="J26" s="358" t="s">
        <v>155</v>
      </c>
      <c r="K26" s="359" t="b">
        <f t="shared" si="1"/>
        <v>1</v>
      </c>
      <c r="L26" s="359">
        <v>2</v>
      </c>
      <c r="M26" s="360">
        <v>2018</v>
      </c>
      <c r="N26" s="361">
        <v>1602450</v>
      </c>
      <c r="O26" s="362">
        <v>42642</v>
      </c>
      <c r="P26" s="362">
        <v>42642</v>
      </c>
    </row>
    <row r="27" spans="1:16" ht="14.25">
      <c r="A27" s="356">
        <v>2016</v>
      </c>
      <c r="B27" s="357" t="s">
        <v>476</v>
      </c>
      <c r="C27" s="357" t="s">
        <v>477</v>
      </c>
      <c r="D27" s="358">
        <v>1021011</v>
      </c>
      <c r="E27" s="358">
        <v>1</v>
      </c>
      <c r="F27" s="358"/>
      <c r="G27" s="358">
        <v>600</v>
      </c>
      <c r="H27" s="358">
        <v>11.3</v>
      </c>
      <c r="I27" s="358" t="s">
        <v>440</v>
      </c>
      <c r="J27" s="358" t="s">
        <v>155</v>
      </c>
      <c r="K27" s="359" t="b">
        <f t="shared" si="1"/>
        <v>1</v>
      </c>
      <c r="L27" s="359">
        <v>6</v>
      </c>
      <c r="M27" s="360">
        <v>2022</v>
      </c>
      <c r="N27" s="361">
        <v>0</v>
      </c>
      <c r="O27" s="362">
        <v>42642</v>
      </c>
      <c r="P27" s="362">
        <v>42642</v>
      </c>
    </row>
    <row r="28" spans="1:16" ht="14.25">
      <c r="A28" s="356">
        <v>2016</v>
      </c>
      <c r="B28" s="357" t="s">
        <v>476</v>
      </c>
      <c r="C28" s="357" t="s">
        <v>477</v>
      </c>
      <c r="D28" s="358">
        <v>1021011</v>
      </c>
      <c r="E28" s="358">
        <v>1</v>
      </c>
      <c r="F28" s="358"/>
      <c r="G28" s="358">
        <v>600</v>
      </c>
      <c r="H28" s="358">
        <v>11.3</v>
      </c>
      <c r="I28" s="358" t="s">
        <v>440</v>
      </c>
      <c r="J28" s="358" t="s">
        <v>155</v>
      </c>
      <c r="K28" s="359" t="b">
        <f t="shared" si="1"/>
        <v>1</v>
      </c>
      <c r="L28" s="359">
        <v>1</v>
      </c>
      <c r="M28" s="360">
        <v>2017</v>
      </c>
      <c r="N28" s="361">
        <v>2777617.88</v>
      </c>
      <c r="O28" s="362">
        <v>42642</v>
      </c>
      <c r="P28" s="362">
        <v>42642</v>
      </c>
    </row>
    <row r="29" spans="1:16" ht="14.25">
      <c r="A29" s="356">
        <v>2016</v>
      </c>
      <c r="B29" s="357" t="s">
        <v>476</v>
      </c>
      <c r="C29" s="357" t="s">
        <v>477</v>
      </c>
      <c r="D29" s="358">
        <v>1021011</v>
      </c>
      <c r="E29" s="358">
        <v>1</v>
      </c>
      <c r="F29" s="358"/>
      <c r="G29" s="358">
        <v>600</v>
      </c>
      <c r="H29" s="358">
        <v>11.3</v>
      </c>
      <c r="I29" s="358" t="s">
        <v>440</v>
      </c>
      <c r="J29" s="358" t="s">
        <v>155</v>
      </c>
      <c r="K29" s="359" t="b">
        <f t="shared" si="1"/>
        <v>1</v>
      </c>
      <c r="L29" s="359">
        <v>5</v>
      </c>
      <c r="M29" s="360">
        <v>2021</v>
      </c>
      <c r="N29" s="361">
        <v>0</v>
      </c>
      <c r="O29" s="362">
        <v>42642</v>
      </c>
      <c r="P29" s="362">
        <v>42642</v>
      </c>
    </row>
    <row r="30" spans="1:16" ht="14.25">
      <c r="A30" s="356">
        <v>2016</v>
      </c>
      <c r="B30" s="357" t="s">
        <v>476</v>
      </c>
      <c r="C30" s="357" t="s">
        <v>477</v>
      </c>
      <c r="D30" s="358">
        <v>1021011</v>
      </c>
      <c r="E30" s="358">
        <v>1</v>
      </c>
      <c r="F30" s="358"/>
      <c r="G30" s="358">
        <v>600</v>
      </c>
      <c r="H30" s="358">
        <v>11.3</v>
      </c>
      <c r="I30" s="358" t="s">
        <v>440</v>
      </c>
      <c r="J30" s="358" t="s">
        <v>155</v>
      </c>
      <c r="K30" s="359" t="b">
        <f t="shared" si="1"/>
        <v>1</v>
      </c>
      <c r="L30" s="359">
        <v>3</v>
      </c>
      <c r="M30" s="360">
        <v>2019</v>
      </c>
      <c r="N30" s="361">
        <v>1469100</v>
      </c>
      <c r="O30" s="362">
        <v>42642</v>
      </c>
      <c r="P30" s="362">
        <v>42642</v>
      </c>
    </row>
    <row r="31" spans="1:16" ht="14.25">
      <c r="A31" s="356">
        <v>2016</v>
      </c>
      <c r="B31" s="357" t="s">
        <v>476</v>
      </c>
      <c r="C31" s="357" t="s">
        <v>477</v>
      </c>
      <c r="D31" s="358">
        <v>1021011</v>
      </c>
      <c r="E31" s="358">
        <v>1</v>
      </c>
      <c r="F31" s="358"/>
      <c r="G31" s="358">
        <v>720</v>
      </c>
      <c r="H31" s="358" t="s">
        <v>187</v>
      </c>
      <c r="I31" s="358"/>
      <c r="J31" s="358" t="s">
        <v>188</v>
      </c>
      <c r="K31" s="359" t="b">
        <f aca="true" t="shared" si="2" ref="K31:K57">FALSE</f>
        <v>0</v>
      </c>
      <c r="L31" s="359">
        <v>8</v>
      </c>
      <c r="M31" s="360">
        <v>2024</v>
      </c>
      <c r="N31" s="361">
        <v>0</v>
      </c>
      <c r="O31" s="362">
        <v>42642</v>
      </c>
      <c r="P31" s="362">
        <v>42642</v>
      </c>
    </row>
    <row r="32" spans="1:16" ht="14.25">
      <c r="A32" s="356">
        <v>2016</v>
      </c>
      <c r="B32" s="357" t="s">
        <v>476</v>
      </c>
      <c r="C32" s="357" t="s">
        <v>477</v>
      </c>
      <c r="D32" s="358">
        <v>1021011</v>
      </c>
      <c r="E32" s="358">
        <v>1</v>
      </c>
      <c r="F32" s="358"/>
      <c r="G32" s="358">
        <v>720</v>
      </c>
      <c r="H32" s="358" t="s">
        <v>187</v>
      </c>
      <c r="I32" s="358"/>
      <c r="J32" s="358" t="s">
        <v>188</v>
      </c>
      <c r="K32" s="359" t="b">
        <f t="shared" si="2"/>
        <v>0</v>
      </c>
      <c r="L32" s="359">
        <v>7</v>
      </c>
      <c r="M32" s="360">
        <v>2023</v>
      </c>
      <c r="N32" s="361">
        <v>0</v>
      </c>
      <c r="O32" s="362">
        <v>42642</v>
      </c>
      <c r="P32" s="362">
        <v>42642</v>
      </c>
    </row>
    <row r="33" spans="1:16" ht="14.25">
      <c r="A33" s="356">
        <v>2016</v>
      </c>
      <c r="B33" s="357" t="s">
        <v>476</v>
      </c>
      <c r="C33" s="357" t="s">
        <v>477</v>
      </c>
      <c r="D33" s="358">
        <v>1021011</v>
      </c>
      <c r="E33" s="358">
        <v>1</v>
      </c>
      <c r="F33" s="358"/>
      <c r="G33" s="358">
        <v>720</v>
      </c>
      <c r="H33" s="358" t="s">
        <v>187</v>
      </c>
      <c r="I33" s="358"/>
      <c r="J33" s="358" t="s">
        <v>188</v>
      </c>
      <c r="K33" s="359" t="b">
        <f t="shared" si="2"/>
        <v>0</v>
      </c>
      <c r="L33" s="359">
        <v>1</v>
      </c>
      <c r="M33" s="360">
        <v>2017</v>
      </c>
      <c r="N33" s="361">
        <v>0</v>
      </c>
      <c r="O33" s="362">
        <v>42642</v>
      </c>
      <c r="P33" s="362">
        <v>42642</v>
      </c>
    </row>
    <row r="34" spans="1:16" ht="14.25">
      <c r="A34" s="356">
        <v>2016</v>
      </c>
      <c r="B34" s="357" t="s">
        <v>476</v>
      </c>
      <c r="C34" s="357" t="s">
        <v>477</v>
      </c>
      <c r="D34" s="358">
        <v>1021011</v>
      </c>
      <c r="E34" s="358">
        <v>1</v>
      </c>
      <c r="F34" s="358"/>
      <c r="G34" s="358">
        <v>720</v>
      </c>
      <c r="H34" s="358" t="s">
        <v>187</v>
      </c>
      <c r="I34" s="358"/>
      <c r="J34" s="358" t="s">
        <v>188</v>
      </c>
      <c r="K34" s="359" t="b">
        <f t="shared" si="2"/>
        <v>0</v>
      </c>
      <c r="L34" s="359">
        <v>6</v>
      </c>
      <c r="M34" s="360">
        <v>2022</v>
      </c>
      <c r="N34" s="361">
        <v>0</v>
      </c>
      <c r="O34" s="362">
        <v>42642</v>
      </c>
      <c r="P34" s="362">
        <v>42642</v>
      </c>
    </row>
    <row r="35" spans="1:16" ht="14.25">
      <c r="A35" s="356">
        <v>2016</v>
      </c>
      <c r="B35" s="357" t="s">
        <v>476</v>
      </c>
      <c r="C35" s="357" t="s">
        <v>477</v>
      </c>
      <c r="D35" s="358">
        <v>1021011</v>
      </c>
      <c r="E35" s="358">
        <v>1</v>
      </c>
      <c r="F35" s="358"/>
      <c r="G35" s="358">
        <v>720</v>
      </c>
      <c r="H35" s="358" t="s">
        <v>187</v>
      </c>
      <c r="I35" s="358"/>
      <c r="J35" s="358" t="s">
        <v>188</v>
      </c>
      <c r="K35" s="359" t="b">
        <f t="shared" si="2"/>
        <v>0</v>
      </c>
      <c r="L35" s="359">
        <v>0</v>
      </c>
      <c r="M35" s="360">
        <v>2016</v>
      </c>
      <c r="N35" s="361">
        <v>691664.53</v>
      </c>
      <c r="O35" s="362">
        <v>42642</v>
      </c>
      <c r="P35" s="362">
        <v>42642</v>
      </c>
    </row>
    <row r="36" spans="1:16" ht="14.25">
      <c r="A36" s="356">
        <v>2016</v>
      </c>
      <c r="B36" s="357" t="s">
        <v>476</v>
      </c>
      <c r="C36" s="357" t="s">
        <v>477</v>
      </c>
      <c r="D36" s="358">
        <v>1021011</v>
      </c>
      <c r="E36" s="358">
        <v>1</v>
      </c>
      <c r="F36" s="358"/>
      <c r="G36" s="358">
        <v>720</v>
      </c>
      <c r="H36" s="358" t="s">
        <v>187</v>
      </c>
      <c r="I36" s="358"/>
      <c r="J36" s="358" t="s">
        <v>188</v>
      </c>
      <c r="K36" s="359" t="b">
        <f t="shared" si="2"/>
        <v>0</v>
      </c>
      <c r="L36" s="359">
        <v>5</v>
      </c>
      <c r="M36" s="360">
        <v>2021</v>
      </c>
      <c r="N36" s="361">
        <v>0</v>
      </c>
      <c r="O36" s="362">
        <v>42642</v>
      </c>
      <c r="P36" s="362">
        <v>42642</v>
      </c>
    </row>
    <row r="37" spans="1:16" ht="14.25">
      <c r="A37" s="356">
        <v>2016</v>
      </c>
      <c r="B37" s="357" t="s">
        <v>476</v>
      </c>
      <c r="C37" s="357" t="s">
        <v>477</v>
      </c>
      <c r="D37" s="358">
        <v>1021011</v>
      </c>
      <c r="E37" s="358">
        <v>1</v>
      </c>
      <c r="F37" s="358"/>
      <c r="G37" s="358">
        <v>720</v>
      </c>
      <c r="H37" s="358" t="s">
        <v>187</v>
      </c>
      <c r="I37" s="358"/>
      <c r="J37" s="358" t="s">
        <v>188</v>
      </c>
      <c r="K37" s="359" t="b">
        <f t="shared" si="2"/>
        <v>0</v>
      </c>
      <c r="L37" s="359">
        <v>3</v>
      </c>
      <c r="M37" s="360">
        <v>2019</v>
      </c>
      <c r="N37" s="361">
        <v>0</v>
      </c>
      <c r="O37" s="362">
        <v>42642</v>
      </c>
      <c r="P37" s="362">
        <v>42642</v>
      </c>
    </row>
    <row r="38" spans="1:16" ht="14.25">
      <c r="A38" s="356">
        <v>2016</v>
      </c>
      <c r="B38" s="357" t="s">
        <v>476</v>
      </c>
      <c r="C38" s="357" t="s">
        <v>477</v>
      </c>
      <c r="D38" s="358">
        <v>1021011</v>
      </c>
      <c r="E38" s="358">
        <v>1</v>
      </c>
      <c r="F38" s="358"/>
      <c r="G38" s="358">
        <v>720</v>
      </c>
      <c r="H38" s="358" t="s">
        <v>187</v>
      </c>
      <c r="I38" s="358"/>
      <c r="J38" s="358" t="s">
        <v>188</v>
      </c>
      <c r="K38" s="359" t="b">
        <f t="shared" si="2"/>
        <v>0</v>
      </c>
      <c r="L38" s="359">
        <v>2</v>
      </c>
      <c r="M38" s="360">
        <v>2018</v>
      </c>
      <c r="N38" s="361">
        <v>0</v>
      </c>
      <c r="O38" s="362">
        <v>42642</v>
      </c>
      <c r="P38" s="362">
        <v>42642</v>
      </c>
    </row>
    <row r="39" spans="1:16" ht="14.25">
      <c r="A39" s="356">
        <v>2016</v>
      </c>
      <c r="B39" s="357" t="s">
        <v>476</v>
      </c>
      <c r="C39" s="357" t="s">
        <v>477</v>
      </c>
      <c r="D39" s="358">
        <v>1021011</v>
      </c>
      <c r="E39" s="358">
        <v>1</v>
      </c>
      <c r="F39" s="358"/>
      <c r="G39" s="358">
        <v>720</v>
      </c>
      <c r="H39" s="358" t="s">
        <v>187</v>
      </c>
      <c r="I39" s="358"/>
      <c r="J39" s="358" t="s">
        <v>188</v>
      </c>
      <c r="K39" s="359" t="b">
        <f t="shared" si="2"/>
        <v>0</v>
      </c>
      <c r="L39" s="359">
        <v>4</v>
      </c>
      <c r="M39" s="360">
        <v>2020</v>
      </c>
      <c r="N39" s="361">
        <v>0</v>
      </c>
      <c r="O39" s="362">
        <v>42642</v>
      </c>
      <c r="P39" s="362">
        <v>42642</v>
      </c>
    </row>
    <row r="40" spans="1:16" ht="14.25">
      <c r="A40" s="356">
        <v>2016</v>
      </c>
      <c r="B40" s="357" t="s">
        <v>476</v>
      </c>
      <c r="C40" s="357" t="s">
        <v>477</v>
      </c>
      <c r="D40" s="358">
        <v>1021011</v>
      </c>
      <c r="E40" s="358">
        <v>1</v>
      </c>
      <c r="F40" s="358"/>
      <c r="G40" s="358">
        <v>280</v>
      </c>
      <c r="H40" s="358">
        <v>4.4</v>
      </c>
      <c r="I40" s="358"/>
      <c r="J40" s="358" t="s">
        <v>86</v>
      </c>
      <c r="K40" s="359" t="b">
        <f t="shared" si="2"/>
        <v>0</v>
      </c>
      <c r="L40" s="359">
        <v>6</v>
      </c>
      <c r="M40" s="360">
        <v>2022</v>
      </c>
      <c r="N40" s="361">
        <v>0</v>
      </c>
      <c r="O40" s="362">
        <v>42642</v>
      </c>
      <c r="P40" s="362">
        <v>42642</v>
      </c>
    </row>
    <row r="41" spans="1:16" ht="14.25">
      <c r="A41" s="356">
        <v>2016</v>
      </c>
      <c r="B41" s="357" t="s">
        <v>476</v>
      </c>
      <c r="C41" s="357" t="s">
        <v>477</v>
      </c>
      <c r="D41" s="358">
        <v>1021011</v>
      </c>
      <c r="E41" s="358">
        <v>1</v>
      </c>
      <c r="F41" s="358"/>
      <c r="G41" s="358">
        <v>280</v>
      </c>
      <c r="H41" s="358">
        <v>4.4</v>
      </c>
      <c r="I41" s="358"/>
      <c r="J41" s="358" t="s">
        <v>86</v>
      </c>
      <c r="K41" s="359" t="b">
        <f t="shared" si="2"/>
        <v>0</v>
      </c>
      <c r="L41" s="359">
        <v>7</v>
      </c>
      <c r="M41" s="360">
        <v>2023</v>
      </c>
      <c r="N41" s="361">
        <v>0</v>
      </c>
      <c r="O41" s="362">
        <v>42642</v>
      </c>
      <c r="P41" s="362">
        <v>42642</v>
      </c>
    </row>
    <row r="42" spans="1:16" ht="14.25">
      <c r="A42" s="356">
        <v>2016</v>
      </c>
      <c r="B42" s="357" t="s">
        <v>476</v>
      </c>
      <c r="C42" s="357" t="s">
        <v>477</v>
      </c>
      <c r="D42" s="358">
        <v>1021011</v>
      </c>
      <c r="E42" s="358">
        <v>1</v>
      </c>
      <c r="F42" s="358"/>
      <c r="G42" s="358">
        <v>280</v>
      </c>
      <c r="H42" s="358">
        <v>4.4</v>
      </c>
      <c r="I42" s="358"/>
      <c r="J42" s="358" t="s">
        <v>86</v>
      </c>
      <c r="K42" s="359" t="b">
        <f t="shared" si="2"/>
        <v>0</v>
      </c>
      <c r="L42" s="359">
        <v>4</v>
      </c>
      <c r="M42" s="360">
        <v>2020</v>
      </c>
      <c r="N42" s="361">
        <v>0</v>
      </c>
      <c r="O42" s="362">
        <v>42642</v>
      </c>
      <c r="P42" s="362">
        <v>42642</v>
      </c>
    </row>
    <row r="43" spans="1:16" ht="14.25">
      <c r="A43" s="356">
        <v>2016</v>
      </c>
      <c r="B43" s="357" t="s">
        <v>476</v>
      </c>
      <c r="C43" s="357" t="s">
        <v>477</v>
      </c>
      <c r="D43" s="358">
        <v>1021011</v>
      </c>
      <c r="E43" s="358">
        <v>1</v>
      </c>
      <c r="F43" s="358"/>
      <c r="G43" s="358">
        <v>280</v>
      </c>
      <c r="H43" s="358">
        <v>4.4</v>
      </c>
      <c r="I43" s="358"/>
      <c r="J43" s="358" t="s">
        <v>86</v>
      </c>
      <c r="K43" s="359" t="b">
        <f t="shared" si="2"/>
        <v>0</v>
      </c>
      <c r="L43" s="359">
        <v>8</v>
      </c>
      <c r="M43" s="360">
        <v>2024</v>
      </c>
      <c r="N43" s="361">
        <v>0</v>
      </c>
      <c r="O43" s="362">
        <v>42642</v>
      </c>
      <c r="P43" s="362">
        <v>42642</v>
      </c>
    </row>
    <row r="44" spans="1:16" ht="14.25">
      <c r="A44" s="356">
        <v>2016</v>
      </c>
      <c r="B44" s="357" t="s">
        <v>476</v>
      </c>
      <c r="C44" s="357" t="s">
        <v>477</v>
      </c>
      <c r="D44" s="358">
        <v>1021011</v>
      </c>
      <c r="E44" s="358">
        <v>1</v>
      </c>
      <c r="F44" s="358"/>
      <c r="G44" s="358">
        <v>280</v>
      </c>
      <c r="H44" s="358">
        <v>4.4</v>
      </c>
      <c r="I44" s="358"/>
      <c r="J44" s="358" t="s">
        <v>86</v>
      </c>
      <c r="K44" s="359" t="b">
        <f t="shared" si="2"/>
        <v>0</v>
      </c>
      <c r="L44" s="359">
        <v>3</v>
      </c>
      <c r="M44" s="360">
        <v>2019</v>
      </c>
      <c r="N44" s="361">
        <v>0</v>
      </c>
      <c r="O44" s="362">
        <v>42642</v>
      </c>
      <c r="P44" s="362">
        <v>42642</v>
      </c>
    </row>
    <row r="45" spans="1:16" ht="14.25">
      <c r="A45" s="356">
        <v>2016</v>
      </c>
      <c r="B45" s="357" t="s">
        <v>476</v>
      </c>
      <c r="C45" s="357" t="s">
        <v>477</v>
      </c>
      <c r="D45" s="358">
        <v>1021011</v>
      </c>
      <c r="E45" s="358">
        <v>1</v>
      </c>
      <c r="F45" s="358"/>
      <c r="G45" s="358">
        <v>280</v>
      </c>
      <c r="H45" s="358">
        <v>4.4</v>
      </c>
      <c r="I45" s="358"/>
      <c r="J45" s="358" t="s">
        <v>86</v>
      </c>
      <c r="K45" s="359" t="b">
        <f t="shared" si="2"/>
        <v>0</v>
      </c>
      <c r="L45" s="359">
        <v>5</v>
      </c>
      <c r="M45" s="360">
        <v>2021</v>
      </c>
      <c r="N45" s="361">
        <v>0</v>
      </c>
      <c r="O45" s="362">
        <v>42642</v>
      </c>
      <c r="P45" s="362">
        <v>42642</v>
      </c>
    </row>
    <row r="46" spans="1:16" ht="14.25">
      <c r="A46" s="356">
        <v>2016</v>
      </c>
      <c r="B46" s="357" t="s">
        <v>476</v>
      </c>
      <c r="C46" s="357" t="s">
        <v>477</v>
      </c>
      <c r="D46" s="358">
        <v>1021011</v>
      </c>
      <c r="E46" s="358">
        <v>1</v>
      </c>
      <c r="F46" s="358"/>
      <c r="G46" s="358">
        <v>280</v>
      </c>
      <c r="H46" s="358">
        <v>4.4</v>
      </c>
      <c r="I46" s="358"/>
      <c r="J46" s="358" t="s">
        <v>86</v>
      </c>
      <c r="K46" s="359" t="b">
        <f t="shared" si="2"/>
        <v>0</v>
      </c>
      <c r="L46" s="359">
        <v>0</v>
      </c>
      <c r="M46" s="360">
        <v>2016</v>
      </c>
      <c r="N46" s="361">
        <v>0</v>
      </c>
      <c r="O46" s="362">
        <v>42642</v>
      </c>
      <c r="P46" s="362">
        <v>42642</v>
      </c>
    </row>
    <row r="47" spans="1:16" ht="14.25">
      <c r="A47" s="356">
        <v>2016</v>
      </c>
      <c r="B47" s="357" t="s">
        <v>476</v>
      </c>
      <c r="C47" s="357" t="s">
        <v>477</v>
      </c>
      <c r="D47" s="358">
        <v>1021011</v>
      </c>
      <c r="E47" s="358">
        <v>1</v>
      </c>
      <c r="F47" s="358"/>
      <c r="G47" s="358">
        <v>280</v>
      </c>
      <c r="H47" s="358">
        <v>4.4</v>
      </c>
      <c r="I47" s="358"/>
      <c r="J47" s="358" t="s">
        <v>86</v>
      </c>
      <c r="K47" s="359" t="b">
        <f t="shared" si="2"/>
        <v>0</v>
      </c>
      <c r="L47" s="359">
        <v>1</v>
      </c>
      <c r="M47" s="360">
        <v>2017</v>
      </c>
      <c r="N47" s="361">
        <v>0</v>
      </c>
      <c r="O47" s="362">
        <v>42642</v>
      </c>
      <c r="P47" s="362">
        <v>42642</v>
      </c>
    </row>
    <row r="48" spans="1:16" ht="14.25">
      <c r="A48" s="356">
        <v>2016</v>
      </c>
      <c r="B48" s="357" t="s">
        <v>476</v>
      </c>
      <c r="C48" s="357" t="s">
        <v>477</v>
      </c>
      <c r="D48" s="358">
        <v>1021011</v>
      </c>
      <c r="E48" s="358">
        <v>1</v>
      </c>
      <c r="F48" s="358"/>
      <c r="G48" s="358">
        <v>280</v>
      </c>
      <c r="H48" s="358">
        <v>4.4</v>
      </c>
      <c r="I48" s="358"/>
      <c r="J48" s="358" t="s">
        <v>86</v>
      </c>
      <c r="K48" s="359" t="b">
        <f t="shared" si="2"/>
        <v>0</v>
      </c>
      <c r="L48" s="359">
        <v>2</v>
      </c>
      <c r="M48" s="360">
        <v>2018</v>
      </c>
      <c r="N48" s="361">
        <v>0</v>
      </c>
      <c r="O48" s="362">
        <v>42642</v>
      </c>
      <c r="P48" s="362">
        <v>42642</v>
      </c>
    </row>
    <row r="49" spans="1:16" ht="14.25">
      <c r="A49" s="356">
        <v>2016</v>
      </c>
      <c r="B49" s="357" t="s">
        <v>476</v>
      </c>
      <c r="C49" s="357" t="s">
        <v>477</v>
      </c>
      <c r="D49" s="358">
        <v>1021011</v>
      </c>
      <c r="E49" s="358">
        <v>1</v>
      </c>
      <c r="F49" s="358"/>
      <c r="G49" s="358">
        <v>530</v>
      </c>
      <c r="H49" s="358">
        <v>9.7</v>
      </c>
      <c r="I49" s="358" t="s">
        <v>478</v>
      </c>
      <c r="J49" s="358" t="s">
        <v>138</v>
      </c>
      <c r="K49" s="359" t="b">
        <f t="shared" si="2"/>
        <v>0</v>
      </c>
      <c r="L49" s="359">
        <v>0</v>
      </c>
      <c r="M49" s="360">
        <v>2016</v>
      </c>
      <c r="N49" s="361">
        <v>214</v>
      </c>
      <c r="O49" s="362">
        <v>42642</v>
      </c>
      <c r="P49" s="362">
        <v>42642</v>
      </c>
    </row>
    <row r="50" spans="1:16" ht="14.25">
      <c r="A50" s="356">
        <v>2016</v>
      </c>
      <c r="B50" s="357" t="s">
        <v>476</v>
      </c>
      <c r="C50" s="357" t="s">
        <v>477</v>
      </c>
      <c r="D50" s="358">
        <v>1021011</v>
      </c>
      <c r="E50" s="358">
        <v>1</v>
      </c>
      <c r="F50" s="358"/>
      <c r="G50" s="358">
        <v>530</v>
      </c>
      <c r="H50" s="358">
        <v>9.7</v>
      </c>
      <c r="I50" s="358" t="s">
        <v>478</v>
      </c>
      <c r="J50" s="358" t="s">
        <v>138</v>
      </c>
      <c r="K50" s="359" t="b">
        <f t="shared" si="2"/>
        <v>0</v>
      </c>
      <c r="L50" s="359">
        <v>4</v>
      </c>
      <c r="M50" s="360">
        <v>2020</v>
      </c>
      <c r="N50" s="361">
        <v>209</v>
      </c>
      <c r="O50" s="362">
        <v>42642</v>
      </c>
      <c r="P50" s="362">
        <v>42642</v>
      </c>
    </row>
    <row r="51" spans="1:16" ht="14.25">
      <c r="A51" s="356">
        <v>2016</v>
      </c>
      <c r="B51" s="357" t="s">
        <v>476</v>
      </c>
      <c r="C51" s="357" t="s">
        <v>477</v>
      </c>
      <c r="D51" s="358">
        <v>1021011</v>
      </c>
      <c r="E51" s="358">
        <v>1</v>
      </c>
      <c r="F51" s="358"/>
      <c r="G51" s="358">
        <v>530</v>
      </c>
      <c r="H51" s="358">
        <v>9.7</v>
      </c>
      <c r="I51" s="358" t="s">
        <v>478</v>
      </c>
      <c r="J51" s="358" t="s">
        <v>138</v>
      </c>
      <c r="K51" s="359" t="b">
        <f t="shared" si="2"/>
        <v>0</v>
      </c>
      <c r="L51" s="359">
        <v>6</v>
      </c>
      <c r="M51" s="360">
        <v>2022</v>
      </c>
      <c r="N51" s="361">
        <v>471</v>
      </c>
      <c r="O51" s="362">
        <v>42642</v>
      </c>
      <c r="P51" s="362">
        <v>42642</v>
      </c>
    </row>
    <row r="52" spans="1:16" ht="14.25">
      <c r="A52" s="356">
        <v>2016</v>
      </c>
      <c r="B52" s="357" t="s">
        <v>476</v>
      </c>
      <c r="C52" s="357" t="s">
        <v>477</v>
      </c>
      <c r="D52" s="358">
        <v>1021011</v>
      </c>
      <c r="E52" s="358">
        <v>1</v>
      </c>
      <c r="F52" s="358"/>
      <c r="G52" s="358">
        <v>530</v>
      </c>
      <c r="H52" s="358">
        <v>9.7</v>
      </c>
      <c r="I52" s="358" t="s">
        <v>478</v>
      </c>
      <c r="J52" s="358" t="s">
        <v>138</v>
      </c>
      <c r="K52" s="359" t="b">
        <f t="shared" si="2"/>
        <v>0</v>
      </c>
      <c r="L52" s="359">
        <v>8</v>
      </c>
      <c r="M52" s="360">
        <v>2024</v>
      </c>
      <c r="N52" s="361">
        <v>759</v>
      </c>
      <c r="O52" s="362">
        <v>42642</v>
      </c>
      <c r="P52" s="362">
        <v>42642</v>
      </c>
    </row>
    <row r="53" spans="1:16" ht="14.25">
      <c r="A53" s="356">
        <v>2016</v>
      </c>
      <c r="B53" s="357" t="s">
        <v>476</v>
      </c>
      <c r="C53" s="357" t="s">
        <v>477</v>
      </c>
      <c r="D53" s="358">
        <v>1021011</v>
      </c>
      <c r="E53" s="358">
        <v>1</v>
      </c>
      <c r="F53" s="358"/>
      <c r="G53" s="358">
        <v>530</v>
      </c>
      <c r="H53" s="358">
        <v>9.7</v>
      </c>
      <c r="I53" s="358" t="s">
        <v>478</v>
      </c>
      <c r="J53" s="358" t="s">
        <v>138</v>
      </c>
      <c r="K53" s="359" t="b">
        <f t="shared" si="2"/>
        <v>0</v>
      </c>
      <c r="L53" s="359">
        <v>5</v>
      </c>
      <c r="M53" s="360">
        <v>2021</v>
      </c>
      <c r="N53" s="361">
        <v>347</v>
      </c>
      <c r="O53" s="362">
        <v>42642</v>
      </c>
      <c r="P53" s="362">
        <v>42642</v>
      </c>
    </row>
    <row r="54" spans="1:16" ht="14.25">
      <c r="A54" s="356">
        <v>2016</v>
      </c>
      <c r="B54" s="357" t="s">
        <v>476</v>
      </c>
      <c r="C54" s="357" t="s">
        <v>477</v>
      </c>
      <c r="D54" s="358">
        <v>1021011</v>
      </c>
      <c r="E54" s="358">
        <v>1</v>
      </c>
      <c r="F54" s="358"/>
      <c r="G54" s="358">
        <v>530</v>
      </c>
      <c r="H54" s="358">
        <v>9.7</v>
      </c>
      <c r="I54" s="358" t="s">
        <v>478</v>
      </c>
      <c r="J54" s="358" t="s">
        <v>138</v>
      </c>
      <c r="K54" s="359" t="b">
        <f t="shared" si="2"/>
        <v>0</v>
      </c>
      <c r="L54" s="359">
        <v>2</v>
      </c>
      <c r="M54" s="360">
        <v>2018</v>
      </c>
      <c r="N54" s="361">
        <v>-60</v>
      </c>
      <c r="O54" s="362">
        <v>42642</v>
      </c>
      <c r="P54" s="362">
        <v>42642</v>
      </c>
    </row>
    <row r="55" spans="1:16" ht="14.25">
      <c r="A55" s="356">
        <v>2016</v>
      </c>
      <c r="B55" s="357" t="s">
        <v>476</v>
      </c>
      <c r="C55" s="357" t="s">
        <v>477</v>
      </c>
      <c r="D55" s="358">
        <v>1021011</v>
      </c>
      <c r="E55" s="358">
        <v>1</v>
      </c>
      <c r="F55" s="358"/>
      <c r="G55" s="358">
        <v>530</v>
      </c>
      <c r="H55" s="358">
        <v>9.7</v>
      </c>
      <c r="I55" s="358" t="s">
        <v>478</v>
      </c>
      <c r="J55" s="358" t="s">
        <v>138</v>
      </c>
      <c r="K55" s="359" t="b">
        <f t="shared" si="2"/>
        <v>0</v>
      </c>
      <c r="L55" s="359">
        <v>7</v>
      </c>
      <c r="M55" s="360">
        <v>2023</v>
      </c>
      <c r="N55" s="361">
        <v>557</v>
      </c>
      <c r="O55" s="362">
        <v>42642</v>
      </c>
      <c r="P55" s="362">
        <v>42642</v>
      </c>
    </row>
    <row r="56" spans="1:16" ht="14.25">
      <c r="A56" s="356">
        <v>2016</v>
      </c>
      <c r="B56" s="357" t="s">
        <v>476</v>
      </c>
      <c r="C56" s="357" t="s">
        <v>477</v>
      </c>
      <c r="D56" s="358">
        <v>1021011</v>
      </c>
      <c r="E56" s="358">
        <v>1</v>
      </c>
      <c r="F56" s="358"/>
      <c r="G56" s="358">
        <v>530</v>
      </c>
      <c r="H56" s="358">
        <v>9.7</v>
      </c>
      <c r="I56" s="358" t="s">
        <v>478</v>
      </c>
      <c r="J56" s="358" t="s">
        <v>138</v>
      </c>
      <c r="K56" s="359" t="b">
        <f t="shared" si="2"/>
        <v>0</v>
      </c>
      <c r="L56" s="359">
        <v>3</v>
      </c>
      <c r="M56" s="360">
        <v>2019</v>
      </c>
      <c r="N56" s="361">
        <v>43</v>
      </c>
      <c r="O56" s="362">
        <v>42642</v>
      </c>
      <c r="P56" s="362">
        <v>42642</v>
      </c>
    </row>
    <row r="57" spans="1:16" ht="14.25">
      <c r="A57" s="356">
        <v>2016</v>
      </c>
      <c r="B57" s="357" t="s">
        <v>476</v>
      </c>
      <c r="C57" s="357" t="s">
        <v>477</v>
      </c>
      <c r="D57" s="358">
        <v>1021011</v>
      </c>
      <c r="E57" s="358">
        <v>1</v>
      </c>
      <c r="F57" s="358"/>
      <c r="G57" s="358">
        <v>530</v>
      </c>
      <c r="H57" s="358">
        <v>9.7</v>
      </c>
      <c r="I57" s="358" t="s">
        <v>478</v>
      </c>
      <c r="J57" s="358" t="s">
        <v>138</v>
      </c>
      <c r="K57" s="359" t="b">
        <f t="shared" si="2"/>
        <v>0</v>
      </c>
      <c r="L57" s="359">
        <v>1</v>
      </c>
      <c r="M57" s="360">
        <v>2017</v>
      </c>
      <c r="N57" s="361">
        <v>-2</v>
      </c>
      <c r="O57" s="362">
        <v>42642</v>
      </c>
      <c r="P57" s="362">
        <v>42642</v>
      </c>
    </row>
    <row r="58" spans="1:16" ht="14.25">
      <c r="A58" s="356">
        <v>2016</v>
      </c>
      <c r="B58" s="357" t="s">
        <v>476</v>
      </c>
      <c r="C58" s="357" t="s">
        <v>477</v>
      </c>
      <c r="D58" s="358">
        <v>1021011</v>
      </c>
      <c r="E58" s="358">
        <v>1</v>
      </c>
      <c r="F58" s="358"/>
      <c r="G58" s="358">
        <v>320</v>
      </c>
      <c r="H58" s="358" t="s">
        <v>92</v>
      </c>
      <c r="I58" s="358" t="s">
        <v>430</v>
      </c>
      <c r="J58" s="358" t="s">
        <v>93</v>
      </c>
      <c r="K58" s="359" t="b">
        <f aca="true" t="shared" si="3" ref="K58:K130">TRUE</f>
        <v>1</v>
      </c>
      <c r="L58" s="359">
        <v>4</v>
      </c>
      <c r="M58" s="360">
        <v>2020</v>
      </c>
      <c r="N58" s="361">
        <v>0</v>
      </c>
      <c r="O58" s="362">
        <v>42642</v>
      </c>
      <c r="P58" s="362">
        <v>42642</v>
      </c>
    </row>
    <row r="59" spans="1:16" ht="14.25">
      <c r="A59" s="356">
        <v>2016</v>
      </c>
      <c r="B59" s="357" t="s">
        <v>476</v>
      </c>
      <c r="C59" s="357" t="s">
        <v>477</v>
      </c>
      <c r="D59" s="358">
        <v>1021011</v>
      </c>
      <c r="E59" s="358">
        <v>1</v>
      </c>
      <c r="F59" s="358"/>
      <c r="G59" s="358">
        <v>320</v>
      </c>
      <c r="H59" s="358" t="s">
        <v>92</v>
      </c>
      <c r="I59" s="358" t="s">
        <v>430</v>
      </c>
      <c r="J59" s="358" t="s">
        <v>93</v>
      </c>
      <c r="K59" s="359" t="b">
        <f t="shared" si="3"/>
        <v>1</v>
      </c>
      <c r="L59" s="359">
        <v>7</v>
      </c>
      <c r="M59" s="360">
        <v>2023</v>
      </c>
      <c r="N59" s="361">
        <v>0</v>
      </c>
      <c r="O59" s="362">
        <v>42642</v>
      </c>
      <c r="P59" s="362">
        <v>42642</v>
      </c>
    </row>
    <row r="60" spans="1:16" ht="14.25">
      <c r="A60" s="356">
        <v>2016</v>
      </c>
      <c r="B60" s="357" t="s">
        <v>476</v>
      </c>
      <c r="C60" s="357" t="s">
        <v>477</v>
      </c>
      <c r="D60" s="358">
        <v>1021011</v>
      </c>
      <c r="E60" s="358">
        <v>1</v>
      </c>
      <c r="F60" s="358"/>
      <c r="G60" s="358">
        <v>320</v>
      </c>
      <c r="H60" s="358" t="s">
        <v>92</v>
      </c>
      <c r="I60" s="358" t="s">
        <v>430</v>
      </c>
      <c r="J60" s="358" t="s">
        <v>93</v>
      </c>
      <c r="K60" s="359" t="b">
        <f t="shared" si="3"/>
        <v>1</v>
      </c>
      <c r="L60" s="359">
        <v>8</v>
      </c>
      <c r="M60" s="360">
        <v>2024</v>
      </c>
      <c r="N60" s="361">
        <v>0</v>
      </c>
      <c r="O60" s="362">
        <v>42642</v>
      </c>
      <c r="P60" s="362">
        <v>42642</v>
      </c>
    </row>
    <row r="61" spans="1:16" ht="14.25">
      <c r="A61" s="356">
        <v>2016</v>
      </c>
      <c r="B61" s="357" t="s">
        <v>476</v>
      </c>
      <c r="C61" s="357" t="s">
        <v>477</v>
      </c>
      <c r="D61" s="358">
        <v>1021011</v>
      </c>
      <c r="E61" s="358">
        <v>1</v>
      </c>
      <c r="F61" s="358"/>
      <c r="G61" s="358">
        <v>320</v>
      </c>
      <c r="H61" s="358" t="s">
        <v>92</v>
      </c>
      <c r="I61" s="358" t="s">
        <v>430</v>
      </c>
      <c r="J61" s="358" t="s">
        <v>93</v>
      </c>
      <c r="K61" s="359" t="b">
        <f t="shared" si="3"/>
        <v>1</v>
      </c>
      <c r="L61" s="359">
        <v>2</v>
      </c>
      <c r="M61" s="360">
        <v>2018</v>
      </c>
      <c r="N61" s="361">
        <v>0</v>
      </c>
      <c r="O61" s="362">
        <v>42642</v>
      </c>
      <c r="P61" s="362">
        <v>42642</v>
      </c>
    </row>
    <row r="62" spans="1:16" ht="14.25">
      <c r="A62" s="356">
        <v>2016</v>
      </c>
      <c r="B62" s="357" t="s">
        <v>476</v>
      </c>
      <c r="C62" s="357" t="s">
        <v>477</v>
      </c>
      <c r="D62" s="358">
        <v>1021011</v>
      </c>
      <c r="E62" s="358">
        <v>1</v>
      </c>
      <c r="F62" s="358"/>
      <c r="G62" s="358">
        <v>320</v>
      </c>
      <c r="H62" s="358" t="s">
        <v>92</v>
      </c>
      <c r="I62" s="358" t="s">
        <v>430</v>
      </c>
      <c r="J62" s="358" t="s">
        <v>93</v>
      </c>
      <c r="K62" s="359" t="b">
        <f t="shared" si="3"/>
        <v>1</v>
      </c>
      <c r="L62" s="359">
        <v>1</v>
      </c>
      <c r="M62" s="360">
        <v>2017</v>
      </c>
      <c r="N62" s="361">
        <v>0</v>
      </c>
      <c r="O62" s="362">
        <v>42642</v>
      </c>
      <c r="P62" s="362">
        <v>42642</v>
      </c>
    </row>
    <row r="63" spans="1:16" ht="14.25">
      <c r="A63" s="356">
        <v>2016</v>
      </c>
      <c r="B63" s="357" t="s">
        <v>476</v>
      </c>
      <c r="C63" s="357" t="s">
        <v>477</v>
      </c>
      <c r="D63" s="358">
        <v>1021011</v>
      </c>
      <c r="E63" s="358">
        <v>1</v>
      </c>
      <c r="F63" s="358"/>
      <c r="G63" s="358">
        <v>320</v>
      </c>
      <c r="H63" s="358" t="s">
        <v>92</v>
      </c>
      <c r="I63" s="358" t="s">
        <v>430</v>
      </c>
      <c r="J63" s="358" t="s">
        <v>93</v>
      </c>
      <c r="K63" s="359" t="b">
        <f t="shared" si="3"/>
        <v>1</v>
      </c>
      <c r="L63" s="359">
        <v>3</v>
      </c>
      <c r="M63" s="360">
        <v>2019</v>
      </c>
      <c r="N63" s="361">
        <v>0</v>
      </c>
      <c r="O63" s="362">
        <v>42642</v>
      </c>
      <c r="P63" s="362">
        <v>42642</v>
      </c>
    </row>
    <row r="64" spans="1:16" ht="14.25">
      <c r="A64" s="356">
        <v>2016</v>
      </c>
      <c r="B64" s="357" t="s">
        <v>476</v>
      </c>
      <c r="C64" s="357" t="s">
        <v>477</v>
      </c>
      <c r="D64" s="358">
        <v>1021011</v>
      </c>
      <c r="E64" s="358">
        <v>1</v>
      </c>
      <c r="F64" s="358"/>
      <c r="G64" s="358">
        <v>320</v>
      </c>
      <c r="H64" s="358" t="s">
        <v>92</v>
      </c>
      <c r="I64" s="358" t="s">
        <v>430</v>
      </c>
      <c r="J64" s="358" t="s">
        <v>93</v>
      </c>
      <c r="K64" s="359" t="b">
        <f t="shared" si="3"/>
        <v>1</v>
      </c>
      <c r="L64" s="359">
        <v>5</v>
      </c>
      <c r="M64" s="360">
        <v>2021</v>
      </c>
      <c r="N64" s="361">
        <v>0</v>
      </c>
      <c r="O64" s="362">
        <v>42642</v>
      </c>
      <c r="P64" s="362">
        <v>42642</v>
      </c>
    </row>
    <row r="65" spans="1:16" ht="14.25">
      <c r="A65" s="356">
        <v>2016</v>
      </c>
      <c r="B65" s="357" t="s">
        <v>476</v>
      </c>
      <c r="C65" s="357" t="s">
        <v>477</v>
      </c>
      <c r="D65" s="358">
        <v>1021011</v>
      </c>
      <c r="E65" s="358">
        <v>1</v>
      </c>
      <c r="F65" s="358"/>
      <c r="G65" s="358">
        <v>320</v>
      </c>
      <c r="H65" s="358" t="s">
        <v>92</v>
      </c>
      <c r="I65" s="358" t="s">
        <v>430</v>
      </c>
      <c r="J65" s="358" t="s">
        <v>93</v>
      </c>
      <c r="K65" s="359" t="b">
        <f t="shared" si="3"/>
        <v>1</v>
      </c>
      <c r="L65" s="359">
        <v>0</v>
      </c>
      <c r="M65" s="360">
        <v>2016</v>
      </c>
      <c r="N65" s="361">
        <v>0</v>
      </c>
      <c r="O65" s="362">
        <v>42642</v>
      </c>
      <c r="P65" s="362">
        <v>42642</v>
      </c>
    </row>
    <row r="66" spans="1:16" ht="14.25">
      <c r="A66" s="356">
        <v>2016</v>
      </c>
      <c r="B66" s="357" t="s">
        <v>476</v>
      </c>
      <c r="C66" s="357" t="s">
        <v>477</v>
      </c>
      <c r="D66" s="358">
        <v>1021011</v>
      </c>
      <c r="E66" s="358">
        <v>1</v>
      </c>
      <c r="F66" s="358"/>
      <c r="G66" s="358">
        <v>320</v>
      </c>
      <c r="H66" s="358" t="s">
        <v>92</v>
      </c>
      <c r="I66" s="358" t="s">
        <v>430</v>
      </c>
      <c r="J66" s="358" t="s">
        <v>93</v>
      </c>
      <c r="K66" s="359" t="b">
        <f t="shared" si="3"/>
        <v>1</v>
      </c>
      <c r="L66" s="359">
        <v>6</v>
      </c>
      <c r="M66" s="360">
        <v>2022</v>
      </c>
      <c r="N66" s="361">
        <v>0</v>
      </c>
      <c r="O66" s="362">
        <v>42642</v>
      </c>
      <c r="P66" s="362">
        <v>42642</v>
      </c>
    </row>
    <row r="67" spans="1:16" ht="14.25">
      <c r="A67" s="356">
        <v>2016</v>
      </c>
      <c r="B67" s="357" t="s">
        <v>476</v>
      </c>
      <c r="C67" s="357" t="s">
        <v>477</v>
      </c>
      <c r="D67" s="358">
        <v>1021011</v>
      </c>
      <c r="E67" s="358">
        <v>1</v>
      </c>
      <c r="F67" s="358"/>
      <c r="G67" s="358">
        <v>880</v>
      </c>
      <c r="H67" s="358">
        <v>14.1</v>
      </c>
      <c r="I67" s="358"/>
      <c r="J67" s="358" t="s">
        <v>250</v>
      </c>
      <c r="K67" s="359" t="b">
        <f t="shared" si="3"/>
        <v>1</v>
      </c>
      <c r="L67" s="359">
        <v>6</v>
      </c>
      <c r="M67" s="360">
        <v>2022</v>
      </c>
      <c r="N67" s="361">
        <v>2250004</v>
      </c>
      <c r="O67" s="362">
        <v>42642</v>
      </c>
      <c r="P67" s="362">
        <v>42642</v>
      </c>
    </row>
    <row r="68" spans="1:16" ht="14.25">
      <c r="A68" s="356">
        <v>2016</v>
      </c>
      <c r="B68" s="357" t="s">
        <v>476</v>
      </c>
      <c r="C68" s="357" t="s">
        <v>477</v>
      </c>
      <c r="D68" s="358">
        <v>1021011</v>
      </c>
      <c r="E68" s="358">
        <v>1</v>
      </c>
      <c r="F68" s="358"/>
      <c r="G68" s="358">
        <v>880</v>
      </c>
      <c r="H68" s="358">
        <v>14.1</v>
      </c>
      <c r="I68" s="358"/>
      <c r="J68" s="358" t="s">
        <v>250</v>
      </c>
      <c r="K68" s="359" t="b">
        <f t="shared" si="3"/>
        <v>1</v>
      </c>
      <c r="L68" s="359">
        <v>1</v>
      </c>
      <c r="M68" s="360">
        <v>2017</v>
      </c>
      <c r="N68" s="361">
        <v>1478204</v>
      </c>
      <c r="O68" s="362">
        <v>42642</v>
      </c>
      <c r="P68" s="362">
        <v>42642</v>
      </c>
    </row>
    <row r="69" spans="1:16" ht="14.25">
      <c r="A69" s="356">
        <v>2016</v>
      </c>
      <c r="B69" s="357" t="s">
        <v>476</v>
      </c>
      <c r="C69" s="357" t="s">
        <v>477</v>
      </c>
      <c r="D69" s="358">
        <v>1021011</v>
      </c>
      <c r="E69" s="358">
        <v>1</v>
      </c>
      <c r="F69" s="358"/>
      <c r="G69" s="358">
        <v>880</v>
      </c>
      <c r="H69" s="358">
        <v>14.1</v>
      </c>
      <c r="I69" s="358"/>
      <c r="J69" s="358" t="s">
        <v>250</v>
      </c>
      <c r="K69" s="359" t="b">
        <f t="shared" si="3"/>
        <v>1</v>
      </c>
      <c r="L69" s="359">
        <v>4</v>
      </c>
      <c r="M69" s="360">
        <v>2020</v>
      </c>
      <c r="N69" s="361">
        <v>2210004</v>
      </c>
      <c r="O69" s="362">
        <v>42642</v>
      </c>
      <c r="P69" s="362">
        <v>42642</v>
      </c>
    </row>
    <row r="70" spans="1:16" ht="14.25">
      <c r="A70" s="356">
        <v>2016</v>
      </c>
      <c r="B70" s="357" t="s">
        <v>476</v>
      </c>
      <c r="C70" s="357" t="s">
        <v>477</v>
      </c>
      <c r="D70" s="358">
        <v>1021011</v>
      </c>
      <c r="E70" s="358">
        <v>1</v>
      </c>
      <c r="F70" s="358"/>
      <c r="G70" s="358">
        <v>880</v>
      </c>
      <c r="H70" s="358">
        <v>14.1</v>
      </c>
      <c r="I70" s="358"/>
      <c r="J70" s="358" t="s">
        <v>250</v>
      </c>
      <c r="K70" s="359" t="b">
        <f t="shared" si="3"/>
        <v>1</v>
      </c>
      <c r="L70" s="359">
        <v>7</v>
      </c>
      <c r="M70" s="360">
        <v>2023</v>
      </c>
      <c r="N70" s="361">
        <v>2418000</v>
      </c>
      <c r="O70" s="362">
        <v>42642</v>
      </c>
      <c r="P70" s="362">
        <v>42642</v>
      </c>
    </row>
    <row r="71" spans="1:16" ht="14.25">
      <c r="A71" s="356">
        <v>2016</v>
      </c>
      <c r="B71" s="357" t="s">
        <v>476</v>
      </c>
      <c r="C71" s="357" t="s">
        <v>477</v>
      </c>
      <c r="D71" s="358">
        <v>1021011</v>
      </c>
      <c r="E71" s="358">
        <v>1</v>
      </c>
      <c r="F71" s="358"/>
      <c r="G71" s="358">
        <v>880</v>
      </c>
      <c r="H71" s="358">
        <v>14.1</v>
      </c>
      <c r="I71" s="358"/>
      <c r="J71" s="358" t="s">
        <v>250</v>
      </c>
      <c r="K71" s="359" t="b">
        <f t="shared" si="3"/>
        <v>1</v>
      </c>
      <c r="L71" s="359">
        <v>2</v>
      </c>
      <c r="M71" s="360">
        <v>2018</v>
      </c>
      <c r="N71" s="361">
        <v>1678204</v>
      </c>
      <c r="O71" s="362">
        <v>42642</v>
      </c>
      <c r="P71" s="362">
        <v>42642</v>
      </c>
    </row>
    <row r="72" spans="1:16" ht="14.25">
      <c r="A72" s="356">
        <v>2016</v>
      </c>
      <c r="B72" s="357" t="s">
        <v>476</v>
      </c>
      <c r="C72" s="357" t="s">
        <v>477</v>
      </c>
      <c r="D72" s="358">
        <v>1021011</v>
      </c>
      <c r="E72" s="358">
        <v>1</v>
      </c>
      <c r="F72" s="358"/>
      <c r="G72" s="358">
        <v>880</v>
      </c>
      <c r="H72" s="358">
        <v>14.1</v>
      </c>
      <c r="I72" s="358"/>
      <c r="J72" s="358" t="s">
        <v>250</v>
      </c>
      <c r="K72" s="359" t="b">
        <f t="shared" si="3"/>
        <v>1</v>
      </c>
      <c r="L72" s="359">
        <v>8</v>
      </c>
      <c r="M72" s="360">
        <v>2024</v>
      </c>
      <c r="N72" s="361">
        <v>1250000</v>
      </c>
      <c r="O72" s="362">
        <v>42642</v>
      </c>
      <c r="P72" s="362">
        <v>42642</v>
      </c>
    </row>
    <row r="73" spans="1:16" ht="14.25">
      <c r="A73" s="356">
        <v>2016</v>
      </c>
      <c r="B73" s="357" t="s">
        <v>476</v>
      </c>
      <c r="C73" s="357" t="s">
        <v>477</v>
      </c>
      <c r="D73" s="358">
        <v>1021011</v>
      </c>
      <c r="E73" s="358">
        <v>1</v>
      </c>
      <c r="F73" s="358"/>
      <c r="G73" s="358">
        <v>880</v>
      </c>
      <c r="H73" s="358">
        <v>14.1</v>
      </c>
      <c r="I73" s="358"/>
      <c r="J73" s="358" t="s">
        <v>250</v>
      </c>
      <c r="K73" s="359" t="b">
        <f t="shared" si="3"/>
        <v>1</v>
      </c>
      <c r="L73" s="359">
        <v>3</v>
      </c>
      <c r="M73" s="360">
        <v>2019</v>
      </c>
      <c r="N73" s="361">
        <v>1860004</v>
      </c>
      <c r="O73" s="362">
        <v>42642</v>
      </c>
      <c r="P73" s="362">
        <v>42642</v>
      </c>
    </row>
    <row r="74" spans="1:16" ht="14.25">
      <c r="A74" s="356">
        <v>2016</v>
      </c>
      <c r="B74" s="357" t="s">
        <v>476</v>
      </c>
      <c r="C74" s="357" t="s">
        <v>477</v>
      </c>
      <c r="D74" s="358">
        <v>1021011</v>
      </c>
      <c r="E74" s="358">
        <v>1</v>
      </c>
      <c r="F74" s="358"/>
      <c r="G74" s="358">
        <v>880</v>
      </c>
      <c r="H74" s="358">
        <v>14.1</v>
      </c>
      <c r="I74" s="358"/>
      <c r="J74" s="358" t="s">
        <v>250</v>
      </c>
      <c r="K74" s="359" t="b">
        <f t="shared" si="3"/>
        <v>1</v>
      </c>
      <c r="L74" s="359">
        <v>5</v>
      </c>
      <c r="M74" s="360">
        <v>2021</v>
      </c>
      <c r="N74" s="361">
        <v>2210004</v>
      </c>
      <c r="O74" s="362">
        <v>42642</v>
      </c>
      <c r="P74" s="362">
        <v>42642</v>
      </c>
    </row>
    <row r="75" spans="1:16" ht="14.25">
      <c r="A75" s="356">
        <v>2016</v>
      </c>
      <c r="B75" s="357" t="s">
        <v>476</v>
      </c>
      <c r="C75" s="357" t="s">
        <v>477</v>
      </c>
      <c r="D75" s="358">
        <v>1021011</v>
      </c>
      <c r="E75" s="358">
        <v>1</v>
      </c>
      <c r="F75" s="358"/>
      <c r="G75" s="358">
        <v>880</v>
      </c>
      <c r="H75" s="358">
        <v>14.1</v>
      </c>
      <c r="I75" s="358"/>
      <c r="J75" s="358" t="s">
        <v>250</v>
      </c>
      <c r="K75" s="359" t="b">
        <f t="shared" si="3"/>
        <v>1</v>
      </c>
      <c r="L75" s="359">
        <v>0</v>
      </c>
      <c r="M75" s="360">
        <v>2016</v>
      </c>
      <c r="N75" s="361">
        <v>1215692</v>
      </c>
      <c r="O75" s="362">
        <v>42642</v>
      </c>
      <c r="P75" s="362">
        <v>42642</v>
      </c>
    </row>
    <row r="76" spans="1:16" ht="14.25">
      <c r="A76" s="356">
        <v>2016</v>
      </c>
      <c r="B76" s="357" t="s">
        <v>476</v>
      </c>
      <c r="C76" s="357" t="s">
        <v>477</v>
      </c>
      <c r="D76" s="358">
        <v>1021011</v>
      </c>
      <c r="E76" s="358">
        <v>1</v>
      </c>
      <c r="F76" s="358"/>
      <c r="G76" s="358">
        <v>40</v>
      </c>
      <c r="H76" s="358" t="s">
        <v>16</v>
      </c>
      <c r="I76" s="358"/>
      <c r="J76" s="358" t="s">
        <v>17</v>
      </c>
      <c r="K76" s="359" t="b">
        <f t="shared" si="3"/>
        <v>1</v>
      </c>
      <c r="L76" s="359">
        <v>8</v>
      </c>
      <c r="M76" s="360">
        <v>2024</v>
      </c>
      <c r="N76" s="361">
        <v>0</v>
      </c>
      <c r="O76" s="362">
        <v>42642</v>
      </c>
      <c r="P76" s="362">
        <v>42642</v>
      </c>
    </row>
    <row r="77" spans="1:16" ht="14.25">
      <c r="A77" s="356">
        <v>2016</v>
      </c>
      <c r="B77" s="357" t="s">
        <v>476</v>
      </c>
      <c r="C77" s="357" t="s">
        <v>477</v>
      </c>
      <c r="D77" s="358">
        <v>1021011</v>
      </c>
      <c r="E77" s="358">
        <v>1</v>
      </c>
      <c r="F77" s="358"/>
      <c r="G77" s="358">
        <v>40</v>
      </c>
      <c r="H77" s="358" t="s">
        <v>16</v>
      </c>
      <c r="I77" s="358"/>
      <c r="J77" s="358" t="s">
        <v>17</v>
      </c>
      <c r="K77" s="359" t="b">
        <f t="shared" si="3"/>
        <v>1</v>
      </c>
      <c r="L77" s="359">
        <v>0</v>
      </c>
      <c r="M77" s="360">
        <v>2016</v>
      </c>
      <c r="N77" s="361">
        <v>140000</v>
      </c>
      <c r="O77" s="362">
        <v>42642</v>
      </c>
      <c r="P77" s="362">
        <v>42642</v>
      </c>
    </row>
    <row r="78" spans="1:16" ht="14.25">
      <c r="A78" s="356">
        <v>2016</v>
      </c>
      <c r="B78" s="357" t="s">
        <v>476</v>
      </c>
      <c r="C78" s="357" t="s">
        <v>477</v>
      </c>
      <c r="D78" s="358">
        <v>1021011</v>
      </c>
      <c r="E78" s="358">
        <v>1</v>
      </c>
      <c r="F78" s="358"/>
      <c r="G78" s="358">
        <v>40</v>
      </c>
      <c r="H78" s="358" t="s">
        <v>16</v>
      </c>
      <c r="I78" s="358"/>
      <c r="J78" s="358" t="s">
        <v>17</v>
      </c>
      <c r="K78" s="359" t="b">
        <f t="shared" si="3"/>
        <v>1</v>
      </c>
      <c r="L78" s="359">
        <v>1</v>
      </c>
      <c r="M78" s="360">
        <v>2017</v>
      </c>
      <c r="N78" s="361">
        <v>140000</v>
      </c>
      <c r="O78" s="362">
        <v>42642</v>
      </c>
      <c r="P78" s="362">
        <v>42642</v>
      </c>
    </row>
    <row r="79" spans="1:16" ht="14.25">
      <c r="A79" s="356">
        <v>2016</v>
      </c>
      <c r="B79" s="357" t="s">
        <v>476</v>
      </c>
      <c r="C79" s="357" t="s">
        <v>477</v>
      </c>
      <c r="D79" s="358">
        <v>1021011</v>
      </c>
      <c r="E79" s="358">
        <v>1</v>
      </c>
      <c r="F79" s="358"/>
      <c r="G79" s="358">
        <v>40</v>
      </c>
      <c r="H79" s="358" t="s">
        <v>16</v>
      </c>
      <c r="I79" s="358"/>
      <c r="J79" s="358" t="s">
        <v>17</v>
      </c>
      <c r="K79" s="359" t="b">
        <f t="shared" si="3"/>
        <v>1</v>
      </c>
      <c r="L79" s="359">
        <v>6</v>
      </c>
      <c r="M79" s="360">
        <v>2022</v>
      </c>
      <c r="N79" s="361">
        <v>0</v>
      </c>
      <c r="O79" s="362">
        <v>42642</v>
      </c>
      <c r="P79" s="362">
        <v>42642</v>
      </c>
    </row>
    <row r="80" spans="1:16" ht="14.25">
      <c r="A80" s="356">
        <v>2016</v>
      </c>
      <c r="B80" s="357" t="s">
        <v>476</v>
      </c>
      <c r="C80" s="357" t="s">
        <v>477</v>
      </c>
      <c r="D80" s="358">
        <v>1021011</v>
      </c>
      <c r="E80" s="358">
        <v>1</v>
      </c>
      <c r="F80" s="358"/>
      <c r="G80" s="358">
        <v>40</v>
      </c>
      <c r="H80" s="358" t="s">
        <v>16</v>
      </c>
      <c r="I80" s="358"/>
      <c r="J80" s="358" t="s">
        <v>17</v>
      </c>
      <c r="K80" s="359" t="b">
        <f t="shared" si="3"/>
        <v>1</v>
      </c>
      <c r="L80" s="359">
        <v>3</v>
      </c>
      <c r="M80" s="360">
        <v>2019</v>
      </c>
      <c r="N80" s="361">
        <v>140000</v>
      </c>
      <c r="O80" s="362">
        <v>42642</v>
      </c>
      <c r="P80" s="362">
        <v>42642</v>
      </c>
    </row>
    <row r="81" spans="1:16" ht="14.25">
      <c r="A81" s="356">
        <v>2016</v>
      </c>
      <c r="B81" s="357" t="s">
        <v>476</v>
      </c>
      <c r="C81" s="357" t="s">
        <v>477</v>
      </c>
      <c r="D81" s="358">
        <v>1021011</v>
      </c>
      <c r="E81" s="358">
        <v>1</v>
      </c>
      <c r="F81" s="358"/>
      <c r="G81" s="358">
        <v>40</v>
      </c>
      <c r="H81" s="358" t="s">
        <v>16</v>
      </c>
      <c r="I81" s="358"/>
      <c r="J81" s="358" t="s">
        <v>17</v>
      </c>
      <c r="K81" s="359" t="b">
        <f t="shared" si="3"/>
        <v>1</v>
      </c>
      <c r="L81" s="359">
        <v>2</v>
      </c>
      <c r="M81" s="360">
        <v>2018</v>
      </c>
      <c r="N81" s="361">
        <v>140000</v>
      </c>
      <c r="O81" s="362">
        <v>42642</v>
      </c>
      <c r="P81" s="362">
        <v>42642</v>
      </c>
    </row>
    <row r="82" spans="1:16" ht="14.25">
      <c r="A82" s="356">
        <v>2016</v>
      </c>
      <c r="B82" s="357" t="s">
        <v>476</v>
      </c>
      <c r="C82" s="357" t="s">
        <v>477</v>
      </c>
      <c r="D82" s="358">
        <v>1021011</v>
      </c>
      <c r="E82" s="358">
        <v>1</v>
      </c>
      <c r="F82" s="358"/>
      <c r="G82" s="358">
        <v>40</v>
      </c>
      <c r="H82" s="358" t="s">
        <v>16</v>
      </c>
      <c r="I82" s="358"/>
      <c r="J82" s="358" t="s">
        <v>17</v>
      </c>
      <c r="K82" s="359" t="b">
        <f t="shared" si="3"/>
        <v>1</v>
      </c>
      <c r="L82" s="359">
        <v>7</v>
      </c>
      <c r="M82" s="360">
        <v>2023</v>
      </c>
      <c r="N82" s="361">
        <v>0</v>
      </c>
      <c r="O82" s="362">
        <v>42642</v>
      </c>
      <c r="P82" s="362">
        <v>42642</v>
      </c>
    </row>
    <row r="83" spans="1:16" ht="14.25">
      <c r="A83" s="356">
        <v>2016</v>
      </c>
      <c r="B83" s="357" t="s">
        <v>476</v>
      </c>
      <c r="C83" s="357" t="s">
        <v>477</v>
      </c>
      <c r="D83" s="358">
        <v>1021011</v>
      </c>
      <c r="E83" s="358">
        <v>1</v>
      </c>
      <c r="F83" s="358"/>
      <c r="G83" s="358">
        <v>40</v>
      </c>
      <c r="H83" s="358" t="s">
        <v>16</v>
      </c>
      <c r="I83" s="358"/>
      <c r="J83" s="358" t="s">
        <v>17</v>
      </c>
      <c r="K83" s="359" t="b">
        <f t="shared" si="3"/>
        <v>1</v>
      </c>
      <c r="L83" s="359">
        <v>5</v>
      </c>
      <c r="M83" s="360">
        <v>2021</v>
      </c>
      <c r="N83" s="361">
        <v>0</v>
      </c>
      <c r="O83" s="362">
        <v>42642</v>
      </c>
      <c r="P83" s="362">
        <v>42642</v>
      </c>
    </row>
    <row r="84" spans="1:16" ht="14.25">
      <c r="A84" s="356">
        <v>2016</v>
      </c>
      <c r="B84" s="357" t="s">
        <v>476</v>
      </c>
      <c r="C84" s="357" t="s">
        <v>477</v>
      </c>
      <c r="D84" s="358">
        <v>1021011</v>
      </c>
      <c r="E84" s="358">
        <v>1</v>
      </c>
      <c r="F84" s="358"/>
      <c r="G84" s="358">
        <v>40</v>
      </c>
      <c r="H84" s="358" t="s">
        <v>16</v>
      </c>
      <c r="I84" s="358"/>
      <c r="J84" s="358" t="s">
        <v>17</v>
      </c>
      <c r="K84" s="359" t="b">
        <f t="shared" si="3"/>
        <v>1</v>
      </c>
      <c r="L84" s="359">
        <v>4</v>
      </c>
      <c r="M84" s="360">
        <v>2020</v>
      </c>
      <c r="N84" s="361">
        <v>0</v>
      </c>
      <c r="O84" s="362">
        <v>42642</v>
      </c>
      <c r="P84" s="362">
        <v>42642</v>
      </c>
    </row>
    <row r="85" spans="1:16" ht="14.25">
      <c r="A85" s="356">
        <v>2016</v>
      </c>
      <c r="B85" s="357" t="s">
        <v>476</v>
      </c>
      <c r="C85" s="357" t="s">
        <v>477</v>
      </c>
      <c r="D85" s="358">
        <v>1021011</v>
      </c>
      <c r="E85" s="358">
        <v>1</v>
      </c>
      <c r="F85" s="358"/>
      <c r="G85" s="358">
        <v>766</v>
      </c>
      <c r="H85" s="358" t="s">
        <v>217</v>
      </c>
      <c r="I85" s="358"/>
      <c r="J85" s="358" t="s">
        <v>212</v>
      </c>
      <c r="K85" s="359" t="b">
        <f t="shared" si="3"/>
        <v>1</v>
      </c>
      <c r="L85" s="359">
        <v>6</v>
      </c>
      <c r="M85" s="360">
        <v>2022</v>
      </c>
      <c r="N85" s="361">
        <v>0</v>
      </c>
      <c r="O85" s="362">
        <v>42642</v>
      </c>
      <c r="P85" s="362">
        <v>42642</v>
      </c>
    </row>
    <row r="86" spans="1:16" ht="14.25">
      <c r="A86" s="356">
        <v>2016</v>
      </c>
      <c r="B86" s="357" t="s">
        <v>476</v>
      </c>
      <c r="C86" s="357" t="s">
        <v>477</v>
      </c>
      <c r="D86" s="358">
        <v>1021011</v>
      </c>
      <c r="E86" s="358">
        <v>1</v>
      </c>
      <c r="F86" s="358"/>
      <c r="G86" s="358">
        <v>766</v>
      </c>
      <c r="H86" s="358" t="s">
        <v>217</v>
      </c>
      <c r="I86" s="358"/>
      <c r="J86" s="358" t="s">
        <v>212</v>
      </c>
      <c r="K86" s="359" t="b">
        <f t="shared" si="3"/>
        <v>1</v>
      </c>
      <c r="L86" s="359">
        <v>4</v>
      </c>
      <c r="M86" s="360">
        <v>2020</v>
      </c>
      <c r="N86" s="361">
        <v>0</v>
      </c>
      <c r="O86" s="362">
        <v>42642</v>
      </c>
      <c r="P86" s="362">
        <v>42642</v>
      </c>
    </row>
    <row r="87" spans="1:16" ht="14.25">
      <c r="A87" s="356">
        <v>2016</v>
      </c>
      <c r="B87" s="357" t="s">
        <v>476</v>
      </c>
      <c r="C87" s="357" t="s">
        <v>477</v>
      </c>
      <c r="D87" s="358">
        <v>1021011</v>
      </c>
      <c r="E87" s="358">
        <v>1</v>
      </c>
      <c r="F87" s="358"/>
      <c r="G87" s="358">
        <v>766</v>
      </c>
      <c r="H87" s="358" t="s">
        <v>217</v>
      </c>
      <c r="I87" s="358"/>
      <c r="J87" s="358" t="s">
        <v>212</v>
      </c>
      <c r="K87" s="359" t="b">
        <f t="shared" si="3"/>
        <v>1</v>
      </c>
      <c r="L87" s="359">
        <v>2</v>
      </c>
      <c r="M87" s="360">
        <v>2018</v>
      </c>
      <c r="N87" s="361">
        <v>0</v>
      </c>
      <c r="O87" s="362">
        <v>42642</v>
      </c>
      <c r="P87" s="362">
        <v>42642</v>
      </c>
    </row>
    <row r="88" spans="1:16" ht="14.25">
      <c r="A88" s="356">
        <v>2016</v>
      </c>
      <c r="B88" s="357" t="s">
        <v>476</v>
      </c>
      <c r="C88" s="357" t="s">
        <v>477</v>
      </c>
      <c r="D88" s="358">
        <v>1021011</v>
      </c>
      <c r="E88" s="358">
        <v>1</v>
      </c>
      <c r="F88" s="358"/>
      <c r="G88" s="358">
        <v>766</v>
      </c>
      <c r="H88" s="358" t="s">
        <v>217</v>
      </c>
      <c r="I88" s="358"/>
      <c r="J88" s="358" t="s">
        <v>212</v>
      </c>
      <c r="K88" s="359" t="b">
        <f t="shared" si="3"/>
        <v>1</v>
      </c>
      <c r="L88" s="359">
        <v>3</v>
      </c>
      <c r="M88" s="360">
        <v>2019</v>
      </c>
      <c r="N88" s="361">
        <v>0</v>
      </c>
      <c r="O88" s="362">
        <v>42642</v>
      </c>
      <c r="P88" s="362">
        <v>42642</v>
      </c>
    </row>
    <row r="89" spans="1:16" ht="14.25">
      <c r="A89" s="356">
        <v>2016</v>
      </c>
      <c r="B89" s="357" t="s">
        <v>476</v>
      </c>
      <c r="C89" s="357" t="s">
        <v>477</v>
      </c>
      <c r="D89" s="358">
        <v>1021011</v>
      </c>
      <c r="E89" s="358">
        <v>1</v>
      </c>
      <c r="F89" s="358"/>
      <c r="G89" s="358">
        <v>766</v>
      </c>
      <c r="H89" s="358" t="s">
        <v>217</v>
      </c>
      <c r="I89" s="358"/>
      <c r="J89" s="358" t="s">
        <v>212</v>
      </c>
      <c r="K89" s="359" t="b">
        <f t="shared" si="3"/>
        <v>1</v>
      </c>
      <c r="L89" s="359">
        <v>0</v>
      </c>
      <c r="M89" s="360">
        <v>2016</v>
      </c>
      <c r="N89" s="361">
        <v>0</v>
      </c>
      <c r="O89" s="362">
        <v>42642</v>
      </c>
      <c r="P89" s="362">
        <v>42642</v>
      </c>
    </row>
    <row r="90" spans="1:16" ht="14.25">
      <c r="A90" s="356">
        <v>2016</v>
      </c>
      <c r="B90" s="357" t="s">
        <v>476</v>
      </c>
      <c r="C90" s="357" t="s">
        <v>477</v>
      </c>
      <c r="D90" s="358">
        <v>1021011</v>
      </c>
      <c r="E90" s="358">
        <v>1</v>
      </c>
      <c r="F90" s="358"/>
      <c r="G90" s="358">
        <v>766</v>
      </c>
      <c r="H90" s="358" t="s">
        <v>217</v>
      </c>
      <c r="I90" s="358"/>
      <c r="J90" s="358" t="s">
        <v>212</v>
      </c>
      <c r="K90" s="359" t="b">
        <f t="shared" si="3"/>
        <v>1</v>
      </c>
      <c r="L90" s="359">
        <v>5</v>
      </c>
      <c r="M90" s="360">
        <v>2021</v>
      </c>
      <c r="N90" s="361">
        <v>0</v>
      </c>
      <c r="O90" s="362">
        <v>42642</v>
      </c>
      <c r="P90" s="362">
        <v>42642</v>
      </c>
    </row>
    <row r="91" spans="1:16" ht="14.25">
      <c r="A91" s="356">
        <v>2016</v>
      </c>
      <c r="B91" s="357" t="s">
        <v>476</v>
      </c>
      <c r="C91" s="357" t="s">
        <v>477</v>
      </c>
      <c r="D91" s="358">
        <v>1021011</v>
      </c>
      <c r="E91" s="358">
        <v>1</v>
      </c>
      <c r="F91" s="358"/>
      <c r="G91" s="358">
        <v>766</v>
      </c>
      <c r="H91" s="358" t="s">
        <v>217</v>
      </c>
      <c r="I91" s="358"/>
      <c r="J91" s="358" t="s">
        <v>212</v>
      </c>
      <c r="K91" s="359" t="b">
        <f t="shared" si="3"/>
        <v>1</v>
      </c>
      <c r="L91" s="359">
        <v>7</v>
      </c>
      <c r="M91" s="360">
        <v>2023</v>
      </c>
      <c r="N91" s="361">
        <v>0</v>
      </c>
      <c r="O91" s="362">
        <v>42642</v>
      </c>
      <c r="P91" s="362">
        <v>42642</v>
      </c>
    </row>
    <row r="92" spans="1:16" ht="14.25">
      <c r="A92" s="356">
        <v>2016</v>
      </c>
      <c r="B92" s="357" t="s">
        <v>476</v>
      </c>
      <c r="C92" s="357" t="s">
        <v>477</v>
      </c>
      <c r="D92" s="358">
        <v>1021011</v>
      </c>
      <c r="E92" s="358">
        <v>1</v>
      </c>
      <c r="F92" s="358"/>
      <c r="G92" s="358">
        <v>766</v>
      </c>
      <c r="H92" s="358" t="s">
        <v>217</v>
      </c>
      <c r="I92" s="358"/>
      <c r="J92" s="358" t="s">
        <v>212</v>
      </c>
      <c r="K92" s="359" t="b">
        <f t="shared" si="3"/>
        <v>1</v>
      </c>
      <c r="L92" s="359">
        <v>8</v>
      </c>
      <c r="M92" s="360">
        <v>2024</v>
      </c>
      <c r="N92" s="361">
        <v>0</v>
      </c>
      <c r="O92" s="362">
        <v>42642</v>
      </c>
      <c r="P92" s="362">
        <v>42642</v>
      </c>
    </row>
    <row r="93" spans="1:16" ht="14.25">
      <c r="A93" s="356">
        <v>2016</v>
      </c>
      <c r="B93" s="357" t="s">
        <v>476</v>
      </c>
      <c r="C93" s="357" t="s">
        <v>477</v>
      </c>
      <c r="D93" s="358">
        <v>1021011</v>
      </c>
      <c r="E93" s="358">
        <v>1</v>
      </c>
      <c r="F93" s="358"/>
      <c r="G93" s="358">
        <v>766</v>
      </c>
      <c r="H93" s="358" t="s">
        <v>217</v>
      </c>
      <c r="I93" s="358"/>
      <c r="J93" s="358" t="s">
        <v>212</v>
      </c>
      <c r="K93" s="359" t="b">
        <f t="shared" si="3"/>
        <v>1</v>
      </c>
      <c r="L93" s="359">
        <v>1</v>
      </c>
      <c r="M93" s="360">
        <v>2017</v>
      </c>
      <c r="N93" s="361">
        <v>0</v>
      </c>
      <c r="O93" s="362">
        <v>42642</v>
      </c>
      <c r="P93" s="362">
        <v>42642</v>
      </c>
    </row>
    <row r="94" spans="1:16" ht="14.25">
      <c r="A94" s="356">
        <v>2016</v>
      </c>
      <c r="B94" s="357" t="s">
        <v>476</v>
      </c>
      <c r="C94" s="357" t="s">
        <v>477</v>
      </c>
      <c r="D94" s="358">
        <v>1021011</v>
      </c>
      <c r="E94" s="358">
        <v>1</v>
      </c>
      <c r="F94" s="358"/>
      <c r="G94" s="358">
        <v>769</v>
      </c>
      <c r="H94" s="358">
        <v>12.8</v>
      </c>
      <c r="I94" s="358"/>
      <c r="J94" s="358" t="s">
        <v>223</v>
      </c>
      <c r="K94" s="359" t="b">
        <f t="shared" si="3"/>
        <v>1</v>
      </c>
      <c r="L94" s="359">
        <v>4</v>
      </c>
      <c r="M94" s="360">
        <v>2020</v>
      </c>
      <c r="N94" s="361">
        <v>0</v>
      </c>
      <c r="O94" s="362">
        <v>42642</v>
      </c>
      <c r="P94" s="362">
        <v>42642</v>
      </c>
    </row>
    <row r="95" spans="1:16" ht="14.25">
      <c r="A95" s="356">
        <v>2016</v>
      </c>
      <c r="B95" s="357" t="s">
        <v>476</v>
      </c>
      <c r="C95" s="357" t="s">
        <v>477</v>
      </c>
      <c r="D95" s="358">
        <v>1021011</v>
      </c>
      <c r="E95" s="358">
        <v>1</v>
      </c>
      <c r="F95" s="358"/>
      <c r="G95" s="358">
        <v>150</v>
      </c>
      <c r="H95" s="358" t="s">
        <v>47</v>
      </c>
      <c r="I95" s="358"/>
      <c r="J95" s="358" t="s">
        <v>48</v>
      </c>
      <c r="K95" s="359" t="b">
        <f t="shared" si="3"/>
        <v>1</v>
      </c>
      <c r="L95" s="359">
        <v>5</v>
      </c>
      <c r="M95" s="360">
        <v>2021</v>
      </c>
      <c r="N95" s="361">
        <v>0</v>
      </c>
      <c r="O95" s="362">
        <v>42642</v>
      </c>
      <c r="P95" s="362">
        <v>42642</v>
      </c>
    </row>
    <row r="96" spans="1:16" ht="14.25">
      <c r="A96" s="356">
        <v>2016</v>
      </c>
      <c r="B96" s="357" t="s">
        <v>476</v>
      </c>
      <c r="C96" s="357" t="s">
        <v>477</v>
      </c>
      <c r="D96" s="358">
        <v>1021011</v>
      </c>
      <c r="E96" s="358">
        <v>1</v>
      </c>
      <c r="F96" s="358"/>
      <c r="G96" s="358">
        <v>769</v>
      </c>
      <c r="H96" s="358">
        <v>12.8</v>
      </c>
      <c r="I96" s="358"/>
      <c r="J96" s="358" t="s">
        <v>223</v>
      </c>
      <c r="K96" s="359" t="b">
        <f t="shared" si="3"/>
        <v>1</v>
      </c>
      <c r="L96" s="359">
        <v>3</v>
      </c>
      <c r="M96" s="360">
        <v>2019</v>
      </c>
      <c r="N96" s="361">
        <v>0</v>
      </c>
      <c r="O96" s="362">
        <v>42642</v>
      </c>
      <c r="P96" s="362">
        <v>42642</v>
      </c>
    </row>
    <row r="97" spans="1:16" ht="14.25">
      <c r="A97" s="356">
        <v>2016</v>
      </c>
      <c r="B97" s="357" t="s">
        <v>476</v>
      </c>
      <c r="C97" s="357" t="s">
        <v>477</v>
      </c>
      <c r="D97" s="358">
        <v>1021011</v>
      </c>
      <c r="E97" s="358">
        <v>1</v>
      </c>
      <c r="F97" s="358"/>
      <c r="G97" s="358">
        <v>769</v>
      </c>
      <c r="H97" s="358">
        <v>12.8</v>
      </c>
      <c r="I97" s="358"/>
      <c r="J97" s="358" t="s">
        <v>223</v>
      </c>
      <c r="K97" s="359" t="b">
        <f t="shared" si="3"/>
        <v>1</v>
      </c>
      <c r="L97" s="359">
        <v>6</v>
      </c>
      <c r="M97" s="360">
        <v>2022</v>
      </c>
      <c r="N97" s="361">
        <v>0</v>
      </c>
      <c r="O97" s="362">
        <v>42642</v>
      </c>
      <c r="P97" s="362">
        <v>42642</v>
      </c>
    </row>
    <row r="98" spans="1:16" ht="14.25">
      <c r="A98" s="356">
        <v>2016</v>
      </c>
      <c r="B98" s="357" t="s">
        <v>476</v>
      </c>
      <c r="C98" s="357" t="s">
        <v>477</v>
      </c>
      <c r="D98" s="358">
        <v>1021011</v>
      </c>
      <c r="E98" s="358">
        <v>1</v>
      </c>
      <c r="F98" s="358"/>
      <c r="G98" s="358">
        <v>769</v>
      </c>
      <c r="H98" s="358">
        <v>12.8</v>
      </c>
      <c r="I98" s="358"/>
      <c r="J98" s="358" t="s">
        <v>223</v>
      </c>
      <c r="K98" s="359" t="b">
        <f t="shared" si="3"/>
        <v>1</v>
      </c>
      <c r="L98" s="359">
        <v>7</v>
      </c>
      <c r="M98" s="360">
        <v>2023</v>
      </c>
      <c r="N98" s="361">
        <v>0</v>
      </c>
      <c r="O98" s="362">
        <v>42642</v>
      </c>
      <c r="P98" s="362">
        <v>42642</v>
      </c>
    </row>
    <row r="99" spans="1:16" ht="14.25">
      <c r="A99" s="356">
        <v>2016</v>
      </c>
      <c r="B99" s="357" t="s">
        <v>476</v>
      </c>
      <c r="C99" s="357" t="s">
        <v>477</v>
      </c>
      <c r="D99" s="358">
        <v>1021011</v>
      </c>
      <c r="E99" s="358">
        <v>1</v>
      </c>
      <c r="F99" s="358"/>
      <c r="G99" s="358">
        <v>769</v>
      </c>
      <c r="H99" s="358">
        <v>12.8</v>
      </c>
      <c r="I99" s="358"/>
      <c r="J99" s="358" t="s">
        <v>223</v>
      </c>
      <c r="K99" s="359" t="b">
        <f t="shared" si="3"/>
        <v>1</v>
      </c>
      <c r="L99" s="359">
        <v>8</v>
      </c>
      <c r="M99" s="360">
        <v>2024</v>
      </c>
      <c r="N99" s="361">
        <v>0</v>
      </c>
      <c r="O99" s="362">
        <v>42642</v>
      </c>
      <c r="P99" s="362">
        <v>42642</v>
      </c>
    </row>
    <row r="100" spans="1:16" ht="14.25">
      <c r="A100" s="356">
        <v>2016</v>
      </c>
      <c r="B100" s="357" t="s">
        <v>476</v>
      </c>
      <c r="C100" s="357" t="s">
        <v>477</v>
      </c>
      <c r="D100" s="358">
        <v>1021011</v>
      </c>
      <c r="E100" s="358">
        <v>1</v>
      </c>
      <c r="F100" s="358"/>
      <c r="G100" s="358">
        <v>769</v>
      </c>
      <c r="H100" s="358">
        <v>12.8</v>
      </c>
      <c r="I100" s="358"/>
      <c r="J100" s="358" t="s">
        <v>223</v>
      </c>
      <c r="K100" s="359" t="b">
        <f t="shared" si="3"/>
        <v>1</v>
      </c>
      <c r="L100" s="359">
        <v>1</v>
      </c>
      <c r="M100" s="360">
        <v>2017</v>
      </c>
      <c r="N100" s="361">
        <v>0</v>
      </c>
      <c r="O100" s="362">
        <v>42642</v>
      </c>
      <c r="P100" s="362">
        <v>42642</v>
      </c>
    </row>
    <row r="101" spans="1:16" ht="14.25">
      <c r="A101" s="356">
        <v>2016</v>
      </c>
      <c r="B101" s="357" t="s">
        <v>476</v>
      </c>
      <c r="C101" s="357" t="s">
        <v>477</v>
      </c>
      <c r="D101" s="358">
        <v>1021011</v>
      </c>
      <c r="E101" s="358">
        <v>1</v>
      </c>
      <c r="F101" s="358"/>
      <c r="G101" s="358">
        <v>769</v>
      </c>
      <c r="H101" s="358">
        <v>12.8</v>
      </c>
      <c r="I101" s="358"/>
      <c r="J101" s="358" t="s">
        <v>223</v>
      </c>
      <c r="K101" s="359" t="b">
        <f t="shared" si="3"/>
        <v>1</v>
      </c>
      <c r="L101" s="359">
        <v>5</v>
      </c>
      <c r="M101" s="360">
        <v>2021</v>
      </c>
      <c r="N101" s="361">
        <v>0</v>
      </c>
      <c r="O101" s="362">
        <v>42642</v>
      </c>
      <c r="P101" s="362">
        <v>42642</v>
      </c>
    </row>
    <row r="102" spans="1:16" ht="14.25">
      <c r="A102" s="356">
        <v>2016</v>
      </c>
      <c r="B102" s="357" t="s">
        <v>476</v>
      </c>
      <c r="C102" s="357" t="s">
        <v>477</v>
      </c>
      <c r="D102" s="358">
        <v>1021011</v>
      </c>
      <c r="E102" s="358">
        <v>1</v>
      </c>
      <c r="F102" s="358"/>
      <c r="G102" s="358">
        <v>769</v>
      </c>
      <c r="H102" s="358">
        <v>12.8</v>
      </c>
      <c r="I102" s="358"/>
      <c r="J102" s="358" t="s">
        <v>223</v>
      </c>
      <c r="K102" s="359" t="b">
        <f t="shared" si="3"/>
        <v>1</v>
      </c>
      <c r="L102" s="359">
        <v>2</v>
      </c>
      <c r="M102" s="360">
        <v>2018</v>
      </c>
      <c r="N102" s="361">
        <v>0</v>
      </c>
      <c r="O102" s="362">
        <v>42642</v>
      </c>
      <c r="P102" s="362">
        <v>42642</v>
      </c>
    </row>
    <row r="103" spans="1:16" ht="14.25">
      <c r="A103" s="356">
        <v>2016</v>
      </c>
      <c r="B103" s="357" t="s">
        <v>476</v>
      </c>
      <c r="C103" s="357" t="s">
        <v>477</v>
      </c>
      <c r="D103" s="358">
        <v>1021011</v>
      </c>
      <c r="E103" s="358">
        <v>1</v>
      </c>
      <c r="F103" s="358"/>
      <c r="G103" s="358">
        <v>769</v>
      </c>
      <c r="H103" s="358">
        <v>12.8</v>
      </c>
      <c r="I103" s="358"/>
      <c r="J103" s="358" t="s">
        <v>223</v>
      </c>
      <c r="K103" s="359" t="b">
        <f t="shared" si="3"/>
        <v>1</v>
      </c>
      <c r="L103" s="359">
        <v>0</v>
      </c>
      <c r="M103" s="360">
        <v>2016</v>
      </c>
      <c r="N103" s="361">
        <v>0</v>
      </c>
      <c r="O103" s="362">
        <v>42642</v>
      </c>
      <c r="P103" s="362">
        <v>42642</v>
      </c>
    </row>
    <row r="104" spans="1:16" ht="14.25">
      <c r="A104" s="356">
        <v>2016</v>
      </c>
      <c r="B104" s="357" t="s">
        <v>476</v>
      </c>
      <c r="C104" s="357" t="s">
        <v>477</v>
      </c>
      <c r="D104" s="358">
        <v>1021011</v>
      </c>
      <c r="E104" s="358">
        <v>1</v>
      </c>
      <c r="F104" s="358"/>
      <c r="G104" s="358">
        <v>150</v>
      </c>
      <c r="H104" s="358" t="s">
        <v>47</v>
      </c>
      <c r="I104" s="358"/>
      <c r="J104" s="358" t="s">
        <v>48</v>
      </c>
      <c r="K104" s="359" t="b">
        <f t="shared" si="3"/>
        <v>1</v>
      </c>
      <c r="L104" s="359">
        <v>0</v>
      </c>
      <c r="M104" s="360">
        <v>2016</v>
      </c>
      <c r="N104" s="361">
        <v>0</v>
      </c>
      <c r="O104" s="362">
        <v>42642</v>
      </c>
      <c r="P104" s="362">
        <v>42642</v>
      </c>
    </row>
    <row r="105" spans="1:16" ht="14.25">
      <c r="A105" s="356">
        <v>2016</v>
      </c>
      <c r="B105" s="357" t="s">
        <v>476</v>
      </c>
      <c r="C105" s="357" t="s">
        <v>477</v>
      </c>
      <c r="D105" s="358">
        <v>1021011</v>
      </c>
      <c r="E105" s="358">
        <v>1</v>
      </c>
      <c r="F105" s="358"/>
      <c r="G105" s="358">
        <v>150</v>
      </c>
      <c r="H105" s="358" t="s">
        <v>47</v>
      </c>
      <c r="I105" s="358"/>
      <c r="J105" s="358" t="s">
        <v>48</v>
      </c>
      <c r="K105" s="359" t="b">
        <f t="shared" si="3"/>
        <v>1</v>
      </c>
      <c r="L105" s="359">
        <v>6</v>
      </c>
      <c r="M105" s="360">
        <v>2022</v>
      </c>
      <c r="N105" s="361">
        <v>0</v>
      </c>
      <c r="O105" s="362">
        <v>42642</v>
      </c>
      <c r="P105" s="362">
        <v>42642</v>
      </c>
    </row>
    <row r="106" spans="1:16" ht="14.25">
      <c r="A106" s="356">
        <v>2016</v>
      </c>
      <c r="B106" s="357" t="s">
        <v>476</v>
      </c>
      <c r="C106" s="357" t="s">
        <v>477</v>
      </c>
      <c r="D106" s="358">
        <v>1021011</v>
      </c>
      <c r="E106" s="358">
        <v>1</v>
      </c>
      <c r="F106" s="358"/>
      <c r="G106" s="358">
        <v>150</v>
      </c>
      <c r="H106" s="358" t="s">
        <v>47</v>
      </c>
      <c r="I106" s="358"/>
      <c r="J106" s="358" t="s">
        <v>48</v>
      </c>
      <c r="K106" s="359" t="b">
        <f t="shared" si="3"/>
        <v>1</v>
      </c>
      <c r="L106" s="359">
        <v>3</v>
      </c>
      <c r="M106" s="360">
        <v>2019</v>
      </c>
      <c r="N106" s="361">
        <v>0</v>
      </c>
      <c r="O106" s="362">
        <v>42642</v>
      </c>
      <c r="P106" s="362">
        <v>42642</v>
      </c>
    </row>
    <row r="107" spans="1:16" ht="14.25">
      <c r="A107" s="356">
        <v>2016</v>
      </c>
      <c r="B107" s="357" t="s">
        <v>476</v>
      </c>
      <c r="C107" s="357" t="s">
        <v>477</v>
      </c>
      <c r="D107" s="358">
        <v>1021011</v>
      </c>
      <c r="E107" s="358">
        <v>1</v>
      </c>
      <c r="F107" s="358"/>
      <c r="G107" s="358">
        <v>150</v>
      </c>
      <c r="H107" s="358" t="s">
        <v>47</v>
      </c>
      <c r="I107" s="358"/>
      <c r="J107" s="358" t="s">
        <v>48</v>
      </c>
      <c r="K107" s="359" t="b">
        <f t="shared" si="3"/>
        <v>1</v>
      </c>
      <c r="L107" s="359">
        <v>4</v>
      </c>
      <c r="M107" s="360">
        <v>2020</v>
      </c>
      <c r="N107" s="361">
        <v>0</v>
      </c>
      <c r="O107" s="362">
        <v>42642</v>
      </c>
      <c r="P107" s="362">
        <v>42642</v>
      </c>
    </row>
    <row r="108" spans="1:16" ht="14.25">
      <c r="A108" s="356">
        <v>2016</v>
      </c>
      <c r="B108" s="357" t="s">
        <v>476</v>
      </c>
      <c r="C108" s="357" t="s">
        <v>477</v>
      </c>
      <c r="D108" s="358">
        <v>1021011</v>
      </c>
      <c r="E108" s="358">
        <v>1</v>
      </c>
      <c r="F108" s="358"/>
      <c r="G108" s="358">
        <v>150</v>
      </c>
      <c r="H108" s="358" t="s">
        <v>47</v>
      </c>
      <c r="I108" s="358"/>
      <c r="J108" s="358" t="s">
        <v>48</v>
      </c>
      <c r="K108" s="359" t="b">
        <f t="shared" si="3"/>
        <v>1</v>
      </c>
      <c r="L108" s="359">
        <v>8</v>
      </c>
      <c r="M108" s="360">
        <v>2024</v>
      </c>
      <c r="N108" s="361">
        <v>0</v>
      </c>
      <c r="O108" s="362">
        <v>42642</v>
      </c>
      <c r="P108" s="362">
        <v>42642</v>
      </c>
    </row>
    <row r="109" spans="1:16" ht="14.25">
      <c r="A109" s="356">
        <v>2016</v>
      </c>
      <c r="B109" s="357" t="s">
        <v>476</v>
      </c>
      <c r="C109" s="357" t="s">
        <v>477</v>
      </c>
      <c r="D109" s="358">
        <v>1021011</v>
      </c>
      <c r="E109" s="358">
        <v>1</v>
      </c>
      <c r="F109" s="358"/>
      <c r="G109" s="358">
        <v>150</v>
      </c>
      <c r="H109" s="358" t="s">
        <v>47</v>
      </c>
      <c r="I109" s="358"/>
      <c r="J109" s="358" t="s">
        <v>48</v>
      </c>
      <c r="K109" s="359" t="b">
        <f t="shared" si="3"/>
        <v>1</v>
      </c>
      <c r="L109" s="359">
        <v>7</v>
      </c>
      <c r="M109" s="360">
        <v>2023</v>
      </c>
      <c r="N109" s="361">
        <v>0</v>
      </c>
      <c r="O109" s="362">
        <v>42642</v>
      </c>
      <c r="P109" s="362">
        <v>42642</v>
      </c>
    </row>
    <row r="110" spans="1:16" ht="14.25">
      <c r="A110" s="356">
        <v>2016</v>
      </c>
      <c r="B110" s="357" t="s">
        <v>476</v>
      </c>
      <c r="C110" s="357" t="s">
        <v>477</v>
      </c>
      <c r="D110" s="358">
        <v>1021011</v>
      </c>
      <c r="E110" s="358">
        <v>1</v>
      </c>
      <c r="F110" s="358"/>
      <c r="G110" s="358">
        <v>150</v>
      </c>
      <c r="H110" s="358" t="s">
        <v>47</v>
      </c>
      <c r="I110" s="358"/>
      <c r="J110" s="358" t="s">
        <v>48</v>
      </c>
      <c r="K110" s="359" t="b">
        <f t="shared" si="3"/>
        <v>1</v>
      </c>
      <c r="L110" s="359">
        <v>2</v>
      </c>
      <c r="M110" s="360">
        <v>2018</v>
      </c>
      <c r="N110" s="361">
        <v>0</v>
      </c>
      <c r="O110" s="362">
        <v>42642</v>
      </c>
      <c r="P110" s="362">
        <v>42642</v>
      </c>
    </row>
    <row r="111" spans="1:16" ht="14.25">
      <c r="A111" s="356">
        <v>2016</v>
      </c>
      <c r="B111" s="357" t="s">
        <v>476</v>
      </c>
      <c r="C111" s="357" t="s">
        <v>477</v>
      </c>
      <c r="D111" s="358">
        <v>1021011</v>
      </c>
      <c r="E111" s="358">
        <v>1</v>
      </c>
      <c r="F111" s="358"/>
      <c r="G111" s="358">
        <v>150</v>
      </c>
      <c r="H111" s="358" t="s">
        <v>47</v>
      </c>
      <c r="I111" s="358"/>
      <c r="J111" s="358" t="s">
        <v>48</v>
      </c>
      <c r="K111" s="359" t="b">
        <f t="shared" si="3"/>
        <v>1</v>
      </c>
      <c r="L111" s="359">
        <v>1</v>
      </c>
      <c r="M111" s="360">
        <v>2017</v>
      </c>
      <c r="N111" s="361">
        <v>0</v>
      </c>
      <c r="O111" s="362">
        <v>42642</v>
      </c>
      <c r="P111" s="362">
        <v>42642</v>
      </c>
    </row>
    <row r="112" spans="1:16" ht="14.25">
      <c r="A112" s="356">
        <v>2016</v>
      </c>
      <c r="B112" s="357" t="s">
        <v>476</v>
      </c>
      <c r="C112" s="357" t="s">
        <v>477</v>
      </c>
      <c r="D112" s="358">
        <v>1021011</v>
      </c>
      <c r="E112" s="358">
        <v>1</v>
      </c>
      <c r="F112" s="358"/>
      <c r="G112" s="358">
        <v>920</v>
      </c>
      <c r="H112" s="358" t="s">
        <v>261</v>
      </c>
      <c r="I112" s="358"/>
      <c r="J112" s="358" t="s">
        <v>262</v>
      </c>
      <c r="K112" s="359" t="b">
        <f t="shared" si="3"/>
        <v>1</v>
      </c>
      <c r="L112" s="359">
        <v>6</v>
      </c>
      <c r="M112" s="360">
        <v>2022</v>
      </c>
      <c r="N112" s="361">
        <v>0</v>
      </c>
      <c r="O112" s="362">
        <v>42642</v>
      </c>
      <c r="P112" s="362">
        <v>42642</v>
      </c>
    </row>
    <row r="113" spans="1:16" ht="14.25">
      <c r="A113" s="356">
        <v>2016</v>
      </c>
      <c r="B113" s="357" t="s">
        <v>476</v>
      </c>
      <c r="C113" s="357" t="s">
        <v>477</v>
      </c>
      <c r="D113" s="358">
        <v>1021011</v>
      </c>
      <c r="E113" s="358">
        <v>1</v>
      </c>
      <c r="F113" s="358"/>
      <c r="G113" s="358">
        <v>920</v>
      </c>
      <c r="H113" s="358" t="s">
        <v>261</v>
      </c>
      <c r="I113" s="358"/>
      <c r="J113" s="358" t="s">
        <v>262</v>
      </c>
      <c r="K113" s="359" t="b">
        <f t="shared" si="3"/>
        <v>1</v>
      </c>
      <c r="L113" s="359">
        <v>5</v>
      </c>
      <c r="M113" s="360">
        <v>2021</v>
      </c>
      <c r="N113" s="361">
        <v>0</v>
      </c>
      <c r="O113" s="362">
        <v>42642</v>
      </c>
      <c r="P113" s="362">
        <v>42642</v>
      </c>
    </row>
    <row r="114" spans="1:16" ht="14.25">
      <c r="A114" s="356">
        <v>2016</v>
      </c>
      <c r="B114" s="357" t="s">
        <v>476</v>
      </c>
      <c r="C114" s="357" t="s">
        <v>477</v>
      </c>
      <c r="D114" s="358">
        <v>1021011</v>
      </c>
      <c r="E114" s="358">
        <v>1</v>
      </c>
      <c r="F114" s="358"/>
      <c r="G114" s="358">
        <v>920</v>
      </c>
      <c r="H114" s="358" t="s">
        <v>261</v>
      </c>
      <c r="I114" s="358"/>
      <c r="J114" s="358" t="s">
        <v>262</v>
      </c>
      <c r="K114" s="359" t="b">
        <f t="shared" si="3"/>
        <v>1</v>
      </c>
      <c r="L114" s="359">
        <v>1</v>
      </c>
      <c r="M114" s="360">
        <v>2017</v>
      </c>
      <c r="N114" s="361">
        <v>0</v>
      </c>
      <c r="O114" s="362">
        <v>42642</v>
      </c>
      <c r="P114" s="362">
        <v>42642</v>
      </c>
    </row>
    <row r="115" spans="1:16" ht="14.25">
      <c r="A115" s="356">
        <v>2016</v>
      </c>
      <c r="B115" s="357" t="s">
        <v>476</v>
      </c>
      <c r="C115" s="357" t="s">
        <v>477</v>
      </c>
      <c r="D115" s="358">
        <v>1021011</v>
      </c>
      <c r="E115" s="358">
        <v>1</v>
      </c>
      <c r="F115" s="358"/>
      <c r="G115" s="358">
        <v>920</v>
      </c>
      <c r="H115" s="358" t="s">
        <v>261</v>
      </c>
      <c r="I115" s="358"/>
      <c r="J115" s="358" t="s">
        <v>262</v>
      </c>
      <c r="K115" s="359" t="b">
        <f t="shared" si="3"/>
        <v>1</v>
      </c>
      <c r="L115" s="359">
        <v>3</v>
      </c>
      <c r="M115" s="360">
        <v>2019</v>
      </c>
      <c r="N115" s="361">
        <v>0</v>
      </c>
      <c r="O115" s="362">
        <v>42642</v>
      </c>
      <c r="P115" s="362">
        <v>42642</v>
      </c>
    </row>
    <row r="116" spans="1:16" ht="14.25">
      <c r="A116" s="356">
        <v>2016</v>
      </c>
      <c r="B116" s="357" t="s">
        <v>476</v>
      </c>
      <c r="C116" s="357" t="s">
        <v>477</v>
      </c>
      <c r="D116" s="358">
        <v>1021011</v>
      </c>
      <c r="E116" s="358">
        <v>1</v>
      </c>
      <c r="F116" s="358"/>
      <c r="G116" s="358">
        <v>920</v>
      </c>
      <c r="H116" s="358" t="s">
        <v>261</v>
      </c>
      <c r="I116" s="358"/>
      <c r="J116" s="358" t="s">
        <v>262</v>
      </c>
      <c r="K116" s="359" t="b">
        <f t="shared" si="3"/>
        <v>1</v>
      </c>
      <c r="L116" s="359">
        <v>7</v>
      </c>
      <c r="M116" s="360">
        <v>2023</v>
      </c>
      <c r="N116" s="361">
        <v>0</v>
      </c>
      <c r="O116" s="362">
        <v>42642</v>
      </c>
      <c r="P116" s="362">
        <v>42642</v>
      </c>
    </row>
    <row r="117" spans="1:16" ht="14.25">
      <c r="A117" s="356">
        <v>2016</v>
      </c>
      <c r="B117" s="357" t="s">
        <v>476</v>
      </c>
      <c r="C117" s="357" t="s">
        <v>477</v>
      </c>
      <c r="D117" s="358">
        <v>1021011</v>
      </c>
      <c r="E117" s="358">
        <v>1</v>
      </c>
      <c r="F117" s="358"/>
      <c r="G117" s="358">
        <v>920</v>
      </c>
      <c r="H117" s="358" t="s">
        <v>261</v>
      </c>
      <c r="I117" s="358"/>
      <c r="J117" s="358" t="s">
        <v>262</v>
      </c>
      <c r="K117" s="359" t="b">
        <f t="shared" si="3"/>
        <v>1</v>
      </c>
      <c r="L117" s="359">
        <v>0</v>
      </c>
      <c r="M117" s="360">
        <v>2016</v>
      </c>
      <c r="N117" s="361">
        <v>0</v>
      </c>
      <c r="O117" s="362">
        <v>42642</v>
      </c>
      <c r="P117" s="362">
        <v>42642</v>
      </c>
    </row>
    <row r="118" spans="1:16" ht="14.25">
      <c r="A118" s="356">
        <v>2016</v>
      </c>
      <c r="B118" s="357" t="s">
        <v>476</v>
      </c>
      <c r="C118" s="357" t="s">
        <v>477</v>
      </c>
      <c r="D118" s="358">
        <v>1021011</v>
      </c>
      <c r="E118" s="358">
        <v>1</v>
      </c>
      <c r="F118" s="358"/>
      <c r="G118" s="358">
        <v>920</v>
      </c>
      <c r="H118" s="358" t="s">
        <v>261</v>
      </c>
      <c r="I118" s="358"/>
      <c r="J118" s="358" t="s">
        <v>262</v>
      </c>
      <c r="K118" s="359" t="b">
        <f t="shared" si="3"/>
        <v>1</v>
      </c>
      <c r="L118" s="359">
        <v>4</v>
      </c>
      <c r="M118" s="360">
        <v>2020</v>
      </c>
      <c r="N118" s="361">
        <v>0</v>
      </c>
      <c r="O118" s="362">
        <v>42642</v>
      </c>
      <c r="P118" s="362">
        <v>42642</v>
      </c>
    </row>
    <row r="119" spans="1:16" ht="14.25">
      <c r="A119" s="356">
        <v>2016</v>
      </c>
      <c r="B119" s="357" t="s">
        <v>476</v>
      </c>
      <c r="C119" s="357" t="s">
        <v>477</v>
      </c>
      <c r="D119" s="358">
        <v>1021011</v>
      </c>
      <c r="E119" s="358">
        <v>1</v>
      </c>
      <c r="F119" s="358"/>
      <c r="G119" s="358">
        <v>920</v>
      </c>
      <c r="H119" s="358" t="s">
        <v>261</v>
      </c>
      <c r="I119" s="358"/>
      <c r="J119" s="358" t="s">
        <v>262</v>
      </c>
      <c r="K119" s="359" t="b">
        <f t="shared" si="3"/>
        <v>1</v>
      </c>
      <c r="L119" s="359">
        <v>8</v>
      </c>
      <c r="M119" s="360">
        <v>2024</v>
      </c>
      <c r="N119" s="361">
        <v>0</v>
      </c>
      <c r="O119" s="362">
        <v>42642</v>
      </c>
      <c r="P119" s="362">
        <v>42642</v>
      </c>
    </row>
    <row r="120" spans="1:16" ht="14.25">
      <c r="A120" s="356">
        <v>2016</v>
      </c>
      <c r="B120" s="357" t="s">
        <v>476</v>
      </c>
      <c r="C120" s="357" t="s">
        <v>477</v>
      </c>
      <c r="D120" s="358">
        <v>1021011</v>
      </c>
      <c r="E120" s="358">
        <v>1</v>
      </c>
      <c r="F120" s="358"/>
      <c r="G120" s="358">
        <v>920</v>
      </c>
      <c r="H120" s="358" t="s">
        <v>261</v>
      </c>
      <c r="I120" s="358"/>
      <c r="J120" s="358" t="s">
        <v>262</v>
      </c>
      <c r="K120" s="359" t="b">
        <f t="shared" si="3"/>
        <v>1</v>
      </c>
      <c r="L120" s="359">
        <v>2</v>
      </c>
      <c r="M120" s="360">
        <v>2018</v>
      </c>
      <c r="N120" s="361">
        <v>0</v>
      </c>
      <c r="O120" s="362">
        <v>42642</v>
      </c>
      <c r="P120" s="362">
        <v>42642</v>
      </c>
    </row>
    <row r="121" spans="1:16" ht="14.25">
      <c r="A121" s="356">
        <v>2016</v>
      </c>
      <c r="B121" s="357" t="s">
        <v>476</v>
      </c>
      <c r="C121" s="357" t="s">
        <v>477</v>
      </c>
      <c r="D121" s="358">
        <v>1021011</v>
      </c>
      <c r="E121" s="358">
        <v>1</v>
      </c>
      <c r="F121" s="358"/>
      <c r="G121" s="358">
        <v>800</v>
      </c>
      <c r="H121" s="358">
        <v>13.1</v>
      </c>
      <c r="I121" s="358"/>
      <c r="J121" s="358" t="s">
        <v>228</v>
      </c>
      <c r="K121" s="359" t="b">
        <f t="shared" si="3"/>
        <v>1</v>
      </c>
      <c r="L121" s="359">
        <v>2</v>
      </c>
      <c r="M121" s="360">
        <v>2018</v>
      </c>
      <c r="N121" s="361">
        <v>0</v>
      </c>
      <c r="O121" s="362">
        <v>42642</v>
      </c>
      <c r="P121" s="362">
        <v>42642</v>
      </c>
    </row>
    <row r="122" spans="1:16" ht="14.25">
      <c r="A122" s="356">
        <v>2016</v>
      </c>
      <c r="B122" s="357" t="s">
        <v>476</v>
      </c>
      <c r="C122" s="357" t="s">
        <v>477</v>
      </c>
      <c r="D122" s="358">
        <v>1021011</v>
      </c>
      <c r="E122" s="358">
        <v>1</v>
      </c>
      <c r="F122" s="358"/>
      <c r="G122" s="358">
        <v>800</v>
      </c>
      <c r="H122" s="358">
        <v>13.1</v>
      </c>
      <c r="I122" s="358"/>
      <c r="J122" s="358" t="s">
        <v>228</v>
      </c>
      <c r="K122" s="359" t="b">
        <f t="shared" si="3"/>
        <v>1</v>
      </c>
      <c r="L122" s="359">
        <v>6</v>
      </c>
      <c r="M122" s="360">
        <v>2022</v>
      </c>
      <c r="N122" s="361">
        <v>0</v>
      </c>
      <c r="O122" s="362">
        <v>42642</v>
      </c>
      <c r="P122" s="362">
        <v>42642</v>
      </c>
    </row>
    <row r="123" spans="1:16" ht="14.25">
      <c r="A123" s="356">
        <v>2016</v>
      </c>
      <c r="B123" s="357" t="s">
        <v>476</v>
      </c>
      <c r="C123" s="357" t="s">
        <v>477</v>
      </c>
      <c r="D123" s="358">
        <v>1021011</v>
      </c>
      <c r="E123" s="358">
        <v>1</v>
      </c>
      <c r="F123" s="358"/>
      <c r="G123" s="358">
        <v>800</v>
      </c>
      <c r="H123" s="358">
        <v>13.1</v>
      </c>
      <c r="I123" s="358"/>
      <c r="J123" s="358" t="s">
        <v>228</v>
      </c>
      <c r="K123" s="359" t="b">
        <f t="shared" si="3"/>
        <v>1</v>
      </c>
      <c r="L123" s="359">
        <v>5</v>
      </c>
      <c r="M123" s="360">
        <v>2021</v>
      </c>
      <c r="N123" s="361">
        <v>0</v>
      </c>
      <c r="O123" s="362">
        <v>42642</v>
      </c>
      <c r="P123" s="362">
        <v>42642</v>
      </c>
    </row>
    <row r="124" spans="1:16" ht="14.25">
      <c r="A124" s="356">
        <v>2016</v>
      </c>
      <c r="B124" s="357" t="s">
        <v>476</v>
      </c>
      <c r="C124" s="357" t="s">
        <v>477</v>
      </c>
      <c r="D124" s="358">
        <v>1021011</v>
      </c>
      <c r="E124" s="358">
        <v>1</v>
      </c>
      <c r="F124" s="358"/>
      <c r="G124" s="358">
        <v>800</v>
      </c>
      <c r="H124" s="358">
        <v>13.1</v>
      </c>
      <c r="I124" s="358"/>
      <c r="J124" s="358" t="s">
        <v>228</v>
      </c>
      <c r="K124" s="359" t="b">
        <f t="shared" si="3"/>
        <v>1</v>
      </c>
      <c r="L124" s="359">
        <v>3</v>
      </c>
      <c r="M124" s="360">
        <v>2019</v>
      </c>
      <c r="N124" s="361">
        <v>0</v>
      </c>
      <c r="O124" s="362">
        <v>42642</v>
      </c>
      <c r="P124" s="362">
        <v>42642</v>
      </c>
    </row>
    <row r="125" spans="1:16" ht="14.25">
      <c r="A125" s="356">
        <v>2016</v>
      </c>
      <c r="B125" s="357" t="s">
        <v>476</v>
      </c>
      <c r="C125" s="357" t="s">
        <v>477</v>
      </c>
      <c r="D125" s="358">
        <v>1021011</v>
      </c>
      <c r="E125" s="358">
        <v>1</v>
      </c>
      <c r="F125" s="358"/>
      <c r="G125" s="358">
        <v>800</v>
      </c>
      <c r="H125" s="358">
        <v>13.1</v>
      </c>
      <c r="I125" s="358"/>
      <c r="J125" s="358" t="s">
        <v>228</v>
      </c>
      <c r="K125" s="359" t="b">
        <f t="shared" si="3"/>
        <v>1</v>
      </c>
      <c r="L125" s="359">
        <v>1</v>
      </c>
      <c r="M125" s="360">
        <v>2017</v>
      </c>
      <c r="N125" s="361">
        <v>0</v>
      </c>
      <c r="O125" s="362">
        <v>42642</v>
      </c>
      <c r="P125" s="362">
        <v>42642</v>
      </c>
    </row>
    <row r="126" spans="1:16" ht="14.25">
      <c r="A126" s="356">
        <v>2016</v>
      </c>
      <c r="B126" s="357" t="s">
        <v>476</v>
      </c>
      <c r="C126" s="357" t="s">
        <v>477</v>
      </c>
      <c r="D126" s="358">
        <v>1021011</v>
      </c>
      <c r="E126" s="358">
        <v>1</v>
      </c>
      <c r="F126" s="358"/>
      <c r="G126" s="358">
        <v>800</v>
      </c>
      <c r="H126" s="358">
        <v>13.1</v>
      </c>
      <c r="I126" s="358"/>
      <c r="J126" s="358" t="s">
        <v>228</v>
      </c>
      <c r="K126" s="359" t="b">
        <f t="shared" si="3"/>
        <v>1</v>
      </c>
      <c r="L126" s="359">
        <v>4</v>
      </c>
      <c r="M126" s="360">
        <v>2020</v>
      </c>
      <c r="N126" s="361">
        <v>0</v>
      </c>
      <c r="O126" s="362">
        <v>42642</v>
      </c>
      <c r="P126" s="362">
        <v>42642</v>
      </c>
    </row>
    <row r="127" spans="1:16" ht="14.25">
      <c r="A127" s="356">
        <v>2016</v>
      </c>
      <c r="B127" s="357" t="s">
        <v>476</v>
      </c>
      <c r="C127" s="357" t="s">
        <v>477</v>
      </c>
      <c r="D127" s="358">
        <v>1021011</v>
      </c>
      <c r="E127" s="358">
        <v>1</v>
      </c>
      <c r="F127" s="358"/>
      <c r="G127" s="358">
        <v>800</v>
      </c>
      <c r="H127" s="358">
        <v>13.1</v>
      </c>
      <c r="I127" s="358"/>
      <c r="J127" s="358" t="s">
        <v>228</v>
      </c>
      <c r="K127" s="359" t="b">
        <f t="shared" si="3"/>
        <v>1</v>
      </c>
      <c r="L127" s="359">
        <v>8</v>
      </c>
      <c r="M127" s="360">
        <v>2024</v>
      </c>
      <c r="N127" s="361">
        <v>0</v>
      </c>
      <c r="O127" s="362">
        <v>42642</v>
      </c>
      <c r="P127" s="362">
        <v>42642</v>
      </c>
    </row>
    <row r="128" spans="1:16" ht="14.25">
      <c r="A128" s="356">
        <v>2016</v>
      </c>
      <c r="B128" s="357" t="s">
        <v>476</v>
      </c>
      <c r="C128" s="357" t="s">
        <v>477</v>
      </c>
      <c r="D128" s="358">
        <v>1021011</v>
      </c>
      <c r="E128" s="358">
        <v>1</v>
      </c>
      <c r="F128" s="358"/>
      <c r="G128" s="358">
        <v>110</v>
      </c>
      <c r="H128" s="358" t="s">
        <v>37</v>
      </c>
      <c r="I128" s="358"/>
      <c r="J128" s="358" t="s">
        <v>38</v>
      </c>
      <c r="K128" s="359" t="b">
        <f t="shared" si="3"/>
        <v>1</v>
      </c>
      <c r="L128" s="359">
        <v>6</v>
      </c>
      <c r="M128" s="360">
        <v>2022</v>
      </c>
      <c r="N128" s="361">
        <v>0</v>
      </c>
      <c r="O128" s="362">
        <v>42642</v>
      </c>
      <c r="P128" s="362">
        <v>42642</v>
      </c>
    </row>
    <row r="129" spans="1:16" ht="14.25">
      <c r="A129" s="356">
        <v>2016</v>
      </c>
      <c r="B129" s="357" t="s">
        <v>476</v>
      </c>
      <c r="C129" s="357" t="s">
        <v>477</v>
      </c>
      <c r="D129" s="358">
        <v>1021011</v>
      </c>
      <c r="E129" s="358">
        <v>1</v>
      </c>
      <c r="F129" s="358"/>
      <c r="G129" s="358">
        <v>800</v>
      </c>
      <c r="H129" s="358">
        <v>13.1</v>
      </c>
      <c r="I129" s="358"/>
      <c r="J129" s="358" t="s">
        <v>228</v>
      </c>
      <c r="K129" s="359" t="b">
        <f t="shared" si="3"/>
        <v>1</v>
      </c>
      <c r="L129" s="359">
        <v>0</v>
      </c>
      <c r="M129" s="360">
        <v>2016</v>
      </c>
      <c r="N129" s="361">
        <v>0</v>
      </c>
      <c r="O129" s="362">
        <v>42642</v>
      </c>
      <c r="P129" s="362">
        <v>42642</v>
      </c>
    </row>
    <row r="130" spans="1:16" ht="14.25">
      <c r="A130" s="356">
        <v>2016</v>
      </c>
      <c r="B130" s="357" t="s">
        <v>476</v>
      </c>
      <c r="C130" s="357" t="s">
        <v>477</v>
      </c>
      <c r="D130" s="358">
        <v>1021011</v>
      </c>
      <c r="E130" s="358">
        <v>1</v>
      </c>
      <c r="F130" s="358"/>
      <c r="G130" s="358">
        <v>800</v>
      </c>
      <c r="H130" s="358">
        <v>13.1</v>
      </c>
      <c r="I130" s="358"/>
      <c r="J130" s="358" t="s">
        <v>228</v>
      </c>
      <c r="K130" s="359" t="b">
        <f t="shared" si="3"/>
        <v>1</v>
      </c>
      <c r="L130" s="359">
        <v>7</v>
      </c>
      <c r="M130" s="360">
        <v>2023</v>
      </c>
      <c r="N130" s="361">
        <v>0</v>
      </c>
      <c r="O130" s="362">
        <v>42642</v>
      </c>
      <c r="P130" s="362">
        <v>42642</v>
      </c>
    </row>
    <row r="131" spans="1:16" ht="14.25">
      <c r="A131" s="356">
        <v>2016</v>
      </c>
      <c r="B131" s="357" t="s">
        <v>476</v>
      </c>
      <c r="C131" s="357" t="s">
        <v>477</v>
      </c>
      <c r="D131" s="358">
        <v>1021011</v>
      </c>
      <c r="E131" s="358">
        <v>1</v>
      </c>
      <c r="F131" s="358"/>
      <c r="G131" s="358">
        <v>440</v>
      </c>
      <c r="H131" s="358">
        <v>9</v>
      </c>
      <c r="I131" s="358"/>
      <c r="J131" s="358" t="s">
        <v>115</v>
      </c>
      <c r="K131" s="359" t="b">
        <f aca="true" t="shared" si="4" ref="K131:K139">FALSE</f>
        <v>0</v>
      </c>
      <c r="L131" s="359">
        <v>0</v>
      </c>
      <c r="M131" s="360">
        <v>2016</v>
      </c>
      <c r="N131" s="361">
        <v>0</v>
      </c>
      <c r="O131" s="362">
        <v>42642</v>
      </c>
      <c r="P131" s="362">
        <v>42642</v>
      </c>
    </row>
    <row r="132" spans="1:16" ht="14.25">
      <c r="A132" s="356">
        <v>2016</v>
      </c>
      <c r="B132" s="357" t="s">
        <v>476</v>
      </c>
      <c r="C132" s="357" t="s">
        <v>477</v>
      </c>
      <c r="D132" s="358">
        <v>1021011</v>
      </c>
      <c r="E132" s="358">
        <v>1</v>
      </c>
      <c r="F132" s="358"/>
      <c r="G132" s="358">
        <v>440</v>
      </c>
      <c r="H132" s="358">
        <v>9</v>
      </c>
      <c r="I132" s="358"/>
      <c r="J132" s="358" t="s">
        <v>115</v>
      </c>
      <c r="K132" s="359" t="b">
        <f t="shared" si="4"/>
        <v>0</v>
      </c>
      <c r="L132" s="359">
        <v>4</v>
      </c>
      <c r="M132" s="360">
        <v>2020</v>
      </c>
      <c r="N132" s="361">
        <v>0</v>
      </c>
      <c r="O132" s="362">
        <v>42642</v>
      </c>
      <c r="P132" s="362">
        <v>42642</v>
      </c>
    </row>
    <row r="133" spans="1:16" ht="14.25">
      <c r="A133" s="356">
        <v>2016</v>
      </c>
      <c r="B133" s="357" t="s">
        <v>476</v>
      </c>
      <c r="C133" s="357" t="s">
        <v>477</v>
      </c>
      <c r="D133" s="358">
        <v>1021011</v>
      </c>
      <c r="E133" s="358">
        <v>1</v>
      </c>
      <c r="F133" s="358"/>
      <c r="G133" s="358">
        <v>440</v>
      </c>
      <c r="H133" s="358">
        <v>9</v>
      </c>
      <c r="I133" s="358"/>
      <c r="J133" s="358" t="s">
        <v>115</v>
      </c>
      <c r="K133" s="359" t="b">
        <f t="shared" si="4"/>
        <v>0</v>
      </c>
      <c r="L133" s="359">
        <v>8</v>
      </c>
      <c r="M133" s="360">
        <v>2024</v>
      </c>
      <c r="N133" s="361">
        <v>0</v>
      </c>
      <c r="O133" s="362">
        <v>42642</v>
      </c>
      <c r="P133" s="362">
        <v>42642</v>
      </c>
    </row>
    <row r="134" spans="1:16" ht="14.25">
      <c r="A134" s="356">
        <v>2016</v>
      </c>
      <c r="B134" s="357" t="s">
        <v>476</v>
      </c>
      <c r="C134" s="357" t="s">
        <v>477</v>
      </c>
      <c r="D134" s="358">
        <v>1021011</v>
      </c>
      <c r="E134" s="358">
        <v>1</v>
      </c>
      <c r="F134" s="358"/>
      <c r="G134" s="358">
        <v>440</v>
      </c>
      <c r="H134" s="358">
        <v>9</v>
      </c>
      <c r="I134" s="358"/>
      <c r="J134" s="358" t="s">
        <v>115</v>
      </c>
      <c r="K134" s="359" t="b">
        <f t="shared" si="4"/>
        <v>0</v>
      </c>
      <c r="L134" s="359">
        <v>7</v>
      </c>
      <c r="M134" s="360">
        <v>2023</v>
      </c>
      <c r="N134" s="361">
        <v>0</v>
      </c>
      <c r="O134" s="362">
        <v>42642</v>
      </c>
      <c r="P134" s="362">
        <v>42642</v>
      </c>
    </row>
    <row r="135" spans="1:16" ht="14.25">
      <c r="A135" s="356">
        <v>2016</v>
      </c>
      <c r="B135" s="357" t="s">
        <v>476</v>
      </c>
      <c r="C135" s="357" t="s">
        <v>477</v>
      </c>
      <c r="D135" s="358">
        <v>1021011</v>
      </c>
      <c r="E135" s="358">
        <v>1</v>
      </c>
      <c r="F135" s="358"/>
      <c r="G135" s="358">
        <v>440</v>
      </c>
      <c r="H135" s="358">
        <v>9</v>
      </c>
      <c r="I135" s="358"/>
      <c r="J135" s="358" t="s">
        <v>115</v>
      </c>
      <c r="K135" s="359" t="b">
        <f t="shared" si="4"/>
        <v>0</v>
      </c>
      <c r="L135" s="359">
        <v>2</v>
      </c>
      <c r="M135" s="360">
        <v>2018</v>
      </c>
      <c r="N135" s="361">
        <v>0</v>
      </c>
      <c r="O135" s="362">
        <v>42642</v>
      </c>
      <c r="P135" s="362">
        <v>42642</v>
      </c>
    </row>
    <row r="136" spans="1:16" ht="14.25">
      <c r="A136" s="356">
        <v>2016</v>
      </c>
      <c r="B136" s="357" t="s">
        <v>476</v>
      </c>
      <c r="C136" s="357" t="s">
        <v>477</v>
      </c>
      <c r="D136" s="358">
        <v>1021011</v>
      </c>
      <c r="E136" s="358">
        <v>1</v>
      </c>
      <c r="F136" s="358"/>
      <c r="G136" s="358">
        <v>440</v>
      </c>
      <c r="H136" s="358">
        <v>9</v>
      </c>
      <c r="I136" s="358"/>
      <c r="J136" s="358" t="s">
        <v>115</v>
      </c>
      <c r="K136" s="359" t="b">
        <f t="shared" si="4"/>
        <v>0</v>
      </c>
      <c r="L136" s="359">
        <v>6</v>
      </c>
      <c r="M136" s="360">
        <v>2022</v>
      </c>
      <c r="N136" s="361">
        <v>0</v>
      </c>
      <c r="O136" s="362">
        <v>42642</v>
      </c>
      <c r="P136" s="362">
        <v>42642</v>
      </c>
    </row>
    <row r="137" spans="1:16" ht="14.25">
      <c r="A137" s="356">
        <v>2016</v>
      </c>
      <c r="B137" s="357" t="s">
        <v>476</v>
      </c>
      <c r="C137" s="357" t="s">
        <v>477</v>
      </c>
      <c r="D137" s="358">
        <v>1021011</v>
      </c>
      <c r="E137" s="358">
        <v>1</v>
      </c>
      <c r="F137" s="358"/>
      <c r="G137" s="358">
        <v>440</v>
      </c>
      <c r="H137" s="358">
        <v>9</v>
      </c>
      <c r="I137" s="358"/>
      <c r="J137" s="358" t="s">
        <v>115</v>
      </c>
      <c r="K137" s="359" t="b">
        <f t="shared" si="4"/>
        <v>0</v>
      </c>
      <c r="L137" s="359">
        <v>1</v>
      </c>
      <c r="M137" s="360">
        <v>2017</v>
      </c>
      <c r="N137" s="361">
        <v>0</v>
      </c>
      <c r="O137" s="362">
        <v>42642</v>
      </c>
      <c r="P137" s="362">
        <v>42642</v>
      </c>
    </row>
    <row r="138" spans="1:16" ht="14.25">
      <c r="A138" s="356">
        <v>2016</v>
      </c>
      <c r="B138" s="357" t="s">
        <v>476</v>
      </c>
      <c r="C138" s="357" t="s">
        <v>477</v>
      </c>
      <c r="D138" s="358">
        <v>1021011</v>
      </c>
      <c r="E138" s="358">
        <v>1</v>
      </c>
      <c r="F138" s="358"/>
      <c r="G138" s="358">
        <v>440</v>
      </c>
      <c r="H138" s="358">
        <v>9</v>
      </c>
      <c r="I138" s="358"/>
      <c r="J138" s="358" t="s">
        <v>115</v>
      </c>
      <c r="K138" s="359" t="b">
        <f t="shared" si="4"/>
        <v>0</v>
      </c>
      <c r="L138" s="359">
        <v>5</v>
      </c>
      <c r="M138" s="360">
        <v>2021</v>
      </c>
      <c r="N138" s="361">
        <v>0</v>
      </c>
      <c r="O138" s="362">
        <v>42642</v>
      </c>
      <c r="P138" s="362">
        <v>42642</v>
      </c>
    </row>
    <row r="139" spans="1:16" ht="14.25">
      <c r="A139" s="356">
        <v>2016</v>
      </c>
      <c r="B139" s="357" t="s">
        <v>476</v>
      </c>
      <c r="C139" s="357" t="s">
        <v>477</v>
      </c>
      <c r="D139" s="358">
        <v>1021011</v>
      </c>
      <c r="E139" s="358">
        <v>1</v>
      </c>
      <c r="F139" s="358"/>
      <c r="G139" s="358">
        <v>440</v>
      </c>
      <c r="H139" s="358">
        <v>9</v>
      </c>
      <c r="I139" s="358"/>
      <c r="J139" s="358" t="s">
        <v>115</v>
      </c>
      <c r="K139" s="359" t="b">
        <f t="shared" si="4"/>
        <v>0</v>
      </c>
      <c r="L139" s="359">
        <v>3</v>
      </c>
      <c r="M139" s="360">
        <v>2019</v>
      </c>
      <c r="N139" s="361">
        <v>0</v>
      </c>
      <c r="O139" s="362">
        <v>42642</v>
      </c>
      <c r="P139" s="362">
        <v>42642</v>
      </c>
    </row>
    <row r="140" spans="1:16" ht="14.25">
      <c r="A140" s="356">
        <v>2016</v>
      </c>
      <c r="B140" s="357" t="s">
        <v>476</v>
      </c>
      <c r="C140" s="357" t="s">
        <v>477</v>
      </c>
      <c r="D140" s="358">
        <v>1021011</v>
      </c>
      <c r="E140" s="358">
        <v>1</v>
      </c>
      <c r="F140" s="358"/>
      <c r="G140" s="358">
        <v>490</v>
      </c>
      <c r="H140" s="358">
        <v>9.3</v>
      </c>
      <c r="I140" s="358"/>
      <c r="J140" s="358" t="s">
        <v>123</v>
      </c>
      <c r="K140" s="359" t="b">
        <f aca="true" t="shared" si="5" ref="K140:K210">TRUE</f>
        <v>1</v>
      </c>
      <c r="L140" s="359">
        <v>6</v>
      </c>
      <c r="M140" s="360">
        <v>2022</v>
      </c>
      <c r="N140" s="361">
        <v>0</v>
      </c>
      <c r="O140" s="362">
        <v>42642</v>
      </c>
      <c r="P140" s="362">
        <v>42642</v>
      </c>
    </row>
    <row r="141" spans="1:16" ht="14.25">
      <c r="A141" s="356">
        <v>2016</v>
      </c>
      <c r="B141" s="357" t="s">
        <v>476</v>
      </c>
      <c r="C141" s="357" t="s">
        <v>477</v>
      </c>
      <c r="D141" s="358">
        <v>1021011</v>
      </c>
      <c r="E141" s="358">
        <v>1</v>
      </c>
      <c r="F141" s="358"/>
      <c r="G141" s="358">
        <v>490</v>
      </c>
      <c r="H141" s="358">
        <v>9.3</v>
      </c>
      <c r="I141" s="358"/>
      <c r="J141" s="358" t="s">
        <v>123</v>
      </c>
      <c r="K141" s="359" t="b">
        <f t="shared" si="5"/>
        <v>1</v>
      </c>
      <c r="L141" s="359">
        <v>0</v>
      </c>
      <c r="M141" s="360">
        <v>2016</v>
      </c>
      <c r="N141" s="361">
        <v>0</v>
      </c>
      <c r="O141" s="362">
        <v>42642</v>
      </c>
      <c r="P141" s="362">
        <v>42642</v>
      </c>
    </row>
    <row r="142" spans="1:16" ht="14.25">
      <c r="A142" s="356">
        <v>2016</v>
      </c>
      <c r="B142" s="357" t="s">
        <v>476</v>
      </c>
      <c r="C142" s="357" t="s">
        <v>477</v>
      </c>
      <c r="D142" s="358">
        <v>1021011</v>
      </c>
      <c r="E142" s="358">
        <v>1</v>
      </c>
      <c r="F142" s="358"/>
      <c r="G142" s="358">
        <v>490</v>
      </c>
      <c r="H142" s="358">
        <v>9.3</v>
      </c>
      <c r="I142" s="358"/>
      <c r="J142" s="358" t="s">
        <v>123</v>
      </c>
      <c r="K142" s="359" t="b">
        <f t="shared" si="5"/>
        <v>1</v>
      </c>
      <c r="L142" s="359">
        <v>1</v>
      </c>
      <c r="M142" s="360">
        <v>2017</v>
      </c>
      <c r="N142" s="361">
        <v>0</v>
      </c>
      <c r="O142" s="362">
        <v>42642</v>
      </c>
      <c r="P142" s="362">
        <v>42642</v>
      </c>
    </row>
    <row r="143" spans="1:16" ht="14.25">
      <c r="A143" s="356">
        <v>2016</v>
      </c>
      <c r="B143" s="357" t="s">
        <v>476</v>
      </c>
      <c r="C143" s="357" t="s">
        <v>477</v>
      </c>
      <c r="D143" s="358">
        <v>1021011</v>
      </c>
      <c r="E143" s="358">
        <v>1</v>
      </c>
      <c r="F143" s="358"/>
      <c r="G143" s="358">
        <v>490</v>
      </c>
      <c r="H143" s="358">
        <v>9.3</v>
      </c>
      <c r="I143" s="358"/>
      <c r="J143" s="358" t="s">
        <v>123</v>
      </c>
      <c r="K143" s="359" t="b">
        <f t="shared" si="5"/>
        <v>1</v>
      </c>
      <c r="L143" s="359">
        <v>4</v>
      </c>
      <c r="M143" s="360">
        <v>2020</v>
      </c>
      <c r="N143" s="361">
        <v>0</v>
      </c>
      <c r="O143" s="362">
        <v>42642</v>
      </c>
      <c r="P143" s="362">
        <v>42642</v>
      </c>
    </row>
    <row r="144" spans="1:16" ht="14.25">
      <c r="A144" s="356">
        <v>2016</v>
      </c>
      <c r="B144" s="357" t="s">
        <v>476</v>
      </c>
      <c r="C144" s="357" t="s">
        <v>477</v>
      </c>
      <c r="D144" s="358">
        <v>1021011</v>
      </c>
      <c r="E144" s="358">
        <v>1</v>
      </c>
      <c r="F144" s="358"/>
      <c r="G144" s="358">
        <v>490</v>
      </c>
      <c r="H144" s="358">
        <v>9.3</v>
      </c>
      <c r="I144" s="358"/>
      <c r="J144" s="358" t="s">
        <v>123</v>
      </c>
      <c r="K144" s="359" t="b">
        <f t="shared" si="5"/>
        <v>1</v>
      </c>
      <c r="L144" s="359">
        <v>2</v>
      </c>
      <c r="M144" s="360">
        <v>2018</v>
      </c>
      <c r="N144" s="361">
        <v>0</v>
      </c>
      <c r="O144" s="362">
        <v>42642</v>
      </c>
      <c r="P144" s="362">
        <v>42642</v>
      </c>
    </row>
    <row r="145" spans="1:16" ht="14.25">
      <c r="A145" s="356">
        <v>2016</v>
      </c>
      <c r="B145" s="357" t="s">
        <v>476</v>
      </c>
      <c r="C145" s="357" t="s">
        <v>477</v>
      </c>
      <c r="D145" s="358">
        <v>1021011</v>
      </c>
      <c r="E145" s="358">
        <v>1</v>
      </c>
      <c r="F145" s="358"/>
      <c r="G145" s="358">
        <v>490</v>
      </c>
      <c r="H145" s="358">
        <v>9.3</v>
      </c>
      <c r="I145" s="358"/>
      <c r="J145" s="358" t="s">
        <v>123</v>
      </c>
      <c r="K145" s="359" t="b">
        <f t="shared" si="5"/>
        <v>1</v>
      </c>
      <c r="L145" s="359">
        <v>8</v>
      </c>
      <c r="M145" s="360">
        <v>2024</v>
      </c>
      <c r="N145" s="361">
        <v>0</v>
      </c>
      <c r="O145" s="362">
        <v>42642</v>
      </c>
      <c r="P145" s="362">
        <v>42642</v>
      </c>
    </row>
    <row r="146" spans="1:16" ht="14.25">
      <c r="A146" s="356">
        <v>2016</v>
      </c>
      <c r="B146" s="357" t="s">
        <v>476</v>
      </c>
      <c r="C146" s="357" t="s">
        <v>477</v>
      </c>
      <c r="D146" s="358">
        <v>1021011</v>
      </c>
      <c r="E146" s="358">
        <v>1</v>
      </c>
      <c r="F146" s="358"/>
      <c r="G146" s="358">
        <v>490</v>
      </c>
      <c r="H146" s="358">
        <v>9.3</v>
      </c>
      <c r="I146" s="358"/>
      <c r="J146" s="358" t="s">
        <v>123</v>
      </c>
      <c r="K146" s="359" t="b">
        <f t="shared" si="5"/>
        <v>1</v>
      </c>
      <c r="L146" s="359">
        <v>7</v>
      </c>
      <c r="M146" s="360">
        <v>2023</v>
      </c>
      <c r="N146" s="361">
        <v>0</v>
      </c>
      <c r="O146" s="362">
        <v>42642</v>
      </c>
      <c r="P146" s="362">
        <v>42642</v>
      </c>
    </row>
    <row r="147" spans="1:16" ht="14.25">
      <c r="A147" s="356">
        <v>2016</v>
      </c>
      <c r="B147" s="357" t="s">
        <v>476</v>
      </c>
      <c r="C147" s="357" t="s">
        <v>477</v>
      </c>
      <c r="D147" s="358">
        <v>1021011</v>
      </c>
      <c r="E147" s="358">
        <v>1</v>
      </c>
      <c r="F147" s="358"/>
      <c r="G147" s="358">
        <v>490</v>
      </c>
      <c r="H147" s="358">
        <v>9.3</v>
      </c>
      <c r="I147" s="358"/>
      <c r="J147" s="358" t="s">
        <v>123</v>
      </c>
      <c r="K147" s="359" t="b">
        <f t="shared" si="5"/>
        <v>1</v>
      </c>
      <c r="L147" s="359">
        <v>5</v>
      </c>
      <c r="M147" s="360">
        <v>2021</v>
      </c>
      <c r="N147" s="361">
        <v>0</v>
      </c>
      <c r="O147" s="362">
        <v>42642</v>
      </c>
      <c r="P147" s="362">
        <v>42642</v>
      </c>
    </row>
    <row r="148" spans="1:16" ht="14.25">
      <c r="A148" s="356">
        <v>2016</v>
      </c>
      <c r="B148" s="357" t="s">
        <v>476</v>
      </c>
      <c r="C148" s="357" t="s">
        <v>477</v>
      </c>
      <c r="D148" s="358">
        <v>1021011</v>
      </c>
      <c r="E148" s="358">
        <v>1</v>
      </c>
      <c r="F148" s="358"/>
      <c r="G148" s="358">
        <v>490</v>
      </c>
      <c r="H148" s="358">
        <v>9.3</v>
      </c>
      <c r="I148" s="358"/>
      <c r="J148" s="358" t="s">
        <v>123</v>
      </c>
      <c r="K148" s="359" t="b">
        <f t="shared" si="5"/>
        <v>1</v>
      </c>
      <c r="L148" s="359">
        <v>3</v>
      </c>
      <c r="M148" s="360">
        <v>2019</v>
      </c>
      <c r="N148" s="361">
        <v>0</v>
      </c>
      <c r="O148" s="362">
        <v>42642</v>
      </c>
      <c r="P148" s="362">
        <v>42642</v>
      </c>
    </row>
    <row r="149" spans="1:16" ht="14.25">
      <c r="A149" s="356">
        <v>2016</v>
      </c>
      <c r="B149" s="357" t="s">
        <v>476</v>
      </c>
      <c r="C149" s="357" t="s">
        <v>477</v>
      </c>
      <c r="D149" s="358">
        <v>1021011</v>
      </c>
      <c r="E149" s="358">
        <v>1</v>
      </c>
      <c r="F149" s="358"/>
      <c r="G149" s="358">
        <v>110</v>
      </c>
      <c r="H149" s="358" t="s">
        <v>37</v>
      </c>
      <c r="I149" s="358"/>
      <c r="J149" s="358" t="s">
        <v>38</v>
      </c>
      <c r="K149" s="359" t="b">
        <f t="shared" si="5"/>
        <v>1</v>
      </c>
      <c r="L149" s="359">
        <v>8</v>
      </c>
      <c r="M149" s="360">
        <v>2024</v>
      </c>
      <c r="N149" s="361">
        <v>0</v>
      </c>
      <c r="O149" s="362">
        <v>42642</v>
      </c>
      <c r="P149" s="362">
        <v>42642</v>
      </c>
    </row>
    <row r="150" spans="1:16" ht="14.25">
      <c r="A150" s="356">
        <v>2016</v>
      </c>
      <c r="B150" s="357" t="s">
        <v>476</v>
      </c>
      <c r="C150" s="357" t="s">
        <v>477</v>
      </c>
      <c r="D150" s="358">
        <v>1021011</v>
      </c>
      <c r="E150" s="358">
        <v>1</v>
      </c>
      <c r="F150" s="358"/>
      <c r="G150" s="358">
        <v>110</v>
      </c>
      <c r="H150" s="358" t="s">
        <v>37</v>
      </c>
      <c r="I150" s="358"/>
      <c r="J150" s="358" t="s">
        <v>38</v>
      </c>
      <c r="K150" s="359" t="b">
        <f t="shared" si="5"/>
        <v>1</v>
      </c>
      <c r="L150" s="359">
        <v>0</v>
      </c>
      <c r="M150" s="360">
        <v>2016</v>
      </c>
      <c r="N150" s="361">
        <v>939064.53</v>
      </c>
      <c r="O150" s="362">
        <v>42642</v>
      </c>
      <c r="P150" s="362">
        <v>42642</v>
      </c>
    </row>
    <row r="151" spans="1:16" ht="14.25">
      <c r="A151" s="356">
        <v>2016</v>
      </c>
      <c r="B151" s="357" t="s">
        <v>476</v>
      </c>
      <c r="C151" s="357" t="s">
        <v>477</v>
      </c>
      <c r="D151" s="358">
        <v>1021011</v>
      </c>
      <c r="E151" s="358">
        <v>1</v>
      </c>
      <c r="F151" s="358"/>
      <c r="G151" s="358">
        <v>110</v>
      </c>
      <c r="H151" s="358" t="s">
        <v>37</v>
      </c>
      <c r="I151" s="358"/>
      <c r="J151" s="358" t="s">
        <v>38</v>
      </c>
      <c r="K151" s="359" t="b">
        <f t="shared" si="5"/>
        <v>1</v>
      </c>
      <c r="L151" s="359">
        <v>4</v>
      </c>
      <c r="M151" s="360">
        <v>2020</v>
      </c>
      <c r="N151" s="361">
        <v>0</v>
      </c>
      <c r="O151" s="362">
        <v>42642</v>
      </c>
      <c r="P151" s="362">
        <v>42642</v>
      </c>
    </row>
    <row r="152" spans="1:16" ht="14.25">
      <c r="A152" s="356">
        <v>2016</v>
      </c>
      <c r="B152" s="357" t="s">
        <v>476</v>
      </c>
      <c r="C152" s="357" t="s">
        <v>477</v>
      </c>
      <c r="D152" s="358">
        <v>1021011</v>
      </c>
      <c r="E152" s="358">
        <v>1</v>
      </c>
      <c r="F152" s="358"/>
      <c r="G152" s="358">
        <v>110</v>
      </c>
      <c r="H152" s="358" t="s">
        <v>37</v>
      </c>
      <c r="I152" s="358"/>
      <c r="J152" s="358" t="s">
        <v>38</v>
      </c>
      <c r="K152" s="359" t="b">
        <f t="shared" si="5"/>
        <v>1</v>
      </c>
      <c r="L152" s="359">
        <v>5</v>
      </c>
      <c r="M152" s="360">
        <v>2021</v>
      </c>
      <c r="N152" s="361">
        <v>0</v>
      </c>
      <c r="O152" s="362">
        <v>42642</v>
      </c>
      <c r="P152" s="362">
        <v>42642</v>
      </c>
    </row>
    <row r="153" spans="1:16" ht="14.25">
      <c r="A153" s="356">
        <v>2016</v>
      </c>
      <c r="B153" s="357" t="s">
        <v>476</v>
      </c>
      <c r="C153" s="357" t="s">
        <v>477</v>
      </c>
      <c r="D153" s="358">
        <v>1021011</v>
      </c>
      <c r="E153" s="358">
        <v>1</v>
      </c>
      <c r="F153" s="358"/>
      <c r="G153" s="358">
        <v>110</v>
      </c>
      <c r="H153" s="358" t="s">
        <v>37</v>
      </c>
      <c r="I153" s="358"/>
      <c r="J153" s="358" t="s">
        <v>38</v>
      </c>
      <c r="K153" s="359" t="b">
        <f t="shared" si="5"/>
        <v>1</v>
      </c>
      <c r="L153" s="359">
        <v>2</v>
      </c>
      <c r="M153" s="360">
        <v>2018</v>
      </c>
      <c r="N153" s="361">
        <v>0</v>
      </c>
      <c r="O153" s="362">
        <v>42642</v>
      </c>
      <c r="P153" s="362">
        <v>42642</v>
      </c>
    </row>
    <row r="154" spans="1:16" ht="14.25">
      <c r="A154" s="356">
        <v>2016</v>
      </c>
      <c r="B154" s="357" t="s">
        <v>476</v>
      </c>
      <c r="C154" s="357" t="s">
        <v>477</v>
      </c>
      <c r="D154" s="358">
        <v>1021011</v>
      </c>
      <c r="E154" s="358">
        <v>1</v>
      </c>
      <c r="F154" s="358"/>
      <c r="G154" s="358">
        <v>110</v>
      </c>
      <c r="H154" s="358" t="s">
        <v>37</v>
      </c>
      <c r="I154" s="358"/>
      <c r="J154" s="358" t="s">
        <v>38</v>
      </c>
      <c r="K154" s="359" t="b">
        <f t="shared" si="5"/>
        <v>1</v>
      </c>
      <c r="L154" s="359">
        <v>1</v>
      </c>
      <c r="M154" s="360">
        <v>2017</v>
      </c>
      <c r="N154" s="361">
        <v>1252887.87</v>
      </c>
      <c r="O154" s="362">
        <v>42642</v>
      </c>
      <c r="P154" s="362">
        <v>42642</v>
      </c>
    </row>
    <row r="155" spans="1:16" ht="14.25">
      <c r="A155" s="356">
        <v>2016</v>
      </c>
      <c r="B155" s="357" t="s">
        <v>476</v>
      </c>
      <c r="C155" s="357" t="s">
        <v>477</v>
      </c>
      <c r="D155" s="358">
        <v>1021011</v>
      </c>
      <c r="E155" s="358">
        <v>1</v>
      </c>
      <c r="F155" s="358"/>
      <c r="G155" s="358">
        <v>110</v>
      </c>
      <c r="H155" s="358" t="s">
        <v>37</v>
      </c>
      <c r="I155" s="358"/>
      <c r="J155" s="358" t="s">
        <v>38</v>
      </c>
      <c r="K155" s="359" t="b">
        <f t="shared" si="5"/>
        <v>1</v>
      </c>
      <c r="L155" s="359">
        <v>7</v>
      </c>
      <c r="M155" s="360">
        <v>2023</v>
      </c>
      <c r="N155" s="361">
        <v>0</v>
      </c>
      <c r="O155" s="362">
        <v>42642</v>
      </c>
      <c r="P155" s="362">
        <v>42642</v>
      </c>
    </row>
    <row r="156" spans="1:16" ht="14.25">
      <c r="A156" s="356">
        <v>2016</v>
      </c>
      <c r="B156" s="357" t="s">
        <v>476</v>
      </c>
      <c r="C156" s="357" t="s">
        <v>477</v>
      </c>
      <c r="D156" s="358">
        <v>1021011</v>
      </c>
      <c r="E156" s="358">
        <v>1</v>
      </c>
      <c r="F156" s="358"/>
      <c r="G156" s="358">
        <v>110</v>
      </c>
      <c r="H156" s="358" t="s">
        <v>37</v>
      </c>
      <c r="I156" s="358"/>
      <c r="J156" s="358" t="s">
        <v>38</v>
      </c>
      <c r="K156" s="359" t="b">
        <f t="shared" si="5"/>
        <v>1</v>
      </c>
      <c r="L156" s="359">
        <v>3</v>
      </c>
      <c r="M156" s="360">
        <v>2019</v>
      </c>
      <c r="N156" s="361">
        <v>0</v>
      </c>
      <c r="O156" s="362">
        <v>42642</v>
      </c>
      <c r="P156" s="362">
        <v>42642</v>
      </c>
    </row>
    <row r="157" spans="1:16" ht="14.25">
      <c r="A157" s="356">
        <v>2016</v>
      </c>
      <c r="B157" s="357" t="s">
        <v>476</v>
      </c>
      <c r="C157" s="357" t="s">
        <v>477</v>
      </c>
      <c r="D157" s="358">
        <v>1021011</v>
      </c>
      <c r="E157" s="358">
        <v>1</v>
      </c>
      <c r="F157" s="358"/>
      <c r="G157" s="358">
        <v>900</v>
      </c>
      <c r="H157" s="358">
        <v>14.3</v>
      </c>
      <c r="I157" s="358"/>
      <c r="J157" s="358" t="s">
        <v>256</v>
      </c>
      <c r="K157" s="359" t="b">
        <f t="shared" si="5"/>
        <v>1</v>
      </c>
      <c r="L157" s="359">
        <v>4</v>
      </c>
      <c r="M157" s="360">
        <v>2020</v>
      </c>
      <c r="N157" s="361">
        <v>0</v>
      </c>
      <c r="O157" s="362">
        <v>42642</v>
      </c>
      <c r="P157" s="362">
        <v>42642</v>
      </c>
    </row>
    <row r="158" spans="1:16" ht="14.25">
      <c r="A158" s="356">
        <v>2016</v>
      </c>
      <c r="B158" s="357" t="s">
        <v>476</v>
      </c>
      <c r="C158" s="357" t="s">
        <v>477</v>
      </c>
      <c r="D158" s="358">
        <v>1021011</v>
      </c>
      <c r="E158" s="358">
        <v>1</v>
      </c>
      <c r="F158" s="358"/>
      <c r="G158" s="358">
        <v>900</v>
      </c>
      <c r="H158" s="358">
        <v>14.3</v>
      </c>
      <c r="I158" s="358"/>
      <c r="J158" s="358" t="s">
        <v>256</v>
      </c>
      <c r="K158" s="359" t="b">
        <f t="shared" si="5"/>
        <v>1</v>
      </c>
      <c r="L158" s="359">
        <v>1</v>
      </c>
      <c r="M158" s="360">
        <v>2017</v>
      </c>
      <c r="N158" s="361">
        <v>0</v>
      </c>
      <c r="O158" s="362">
        <v>42642</v>
      </c>
      <c r="P158" s="362">
        <v>42642</v>
      </c>
    </row>
    <row r="159" spans="1:16" ht="14.25">
      <c r="A159" s="356">
        <v>2016</v>
      </c>
      <c r="B159" s="357" t="s">
        <v>476</v>
      </c>
      <c r="C159" s="357" t="s">
        <v>477</v>
      </c>
      <c r="D159" s="358">
        <v>1021011</v>
      </c>
      <c r="E159" s="358">
        <v>1</v>
      </c>
      <c r="F159" s="358"/>
      <c r="G159" s="358">
        <v>900</v>
      </c>
      <c r="H159" s="358">
        <v>14.3</v>
      </c>
      <c r="I159" s="358"/>
      <c r="J159" s="358" t="s">
        <v>256</v>
      </c>
      <c r="K159" s="359" t="b">
        <f t="shared" si="5"/>
        <v>1</v>
      </c>
      <c r="L159" s="359">
        <v>2</v>
      </c>
      <c r="M159" s="360">
        <v>2018</v>
      </c>
      <c r="N159" s="361">
        <v>0</v>
      </c>
      <c r="O159" s="362">
        <v>42642</v>
      </c>
      <c r="P159" s="362">
        <v>42642</v>
      </c>
    </row>
    <row r="160" spans="1:16" ht="14.25">
      <c r="A160" s="356">
        <v>2016</v>
      </c>
      <c r="B160" s="357" t="s">
        <v>476</v>
      </c>
      <c r="C160" s="357" t="s">
        <v>477</v>
      </c>
      <c r="D160" s="358">
        <v>1021011</v>
      </c>
      <c r="E160" s="358">
        <v>1</v>
      </c>
      <c r="F160" s="358"/>
      <c r="G160" s="358">
        <v>900</v>
      </c>
      <c r="H160" s="358">
        <v>14.3</v>
      </c>
      <c r="I160" s="358"/>
      <c r="J160" s="358" t="s">
        <v>256</v>
      </c>
      <c r="K160" s="359" t="b">
        <f t="shared" si="5"/>
        <v>1</v>
      </c>
      <c r="L160" s="359">
        <v>0</v>
      </c>
      <c r="M160" s="360">
        <v>2016</v>
      </c>
      <c r="N160" s="361">
        <v>0</v>
      </c>
      <c r="O160" s="362">
        <v>42642</v>
      </c>
      <c r="P160" s="362">
        <v>42642</v>
      </c>
    </row>
    <row r="161" spans="1:16" ht="14.25">
      <c r="A161" s="356">
        <v>2016</v>
      </c>
      <c r="B161" s="357" t="s">
        <v>476</v>
      </c>
      <c r="C161" s="357" t="s">
        <v>477</v>
      </c>
      <c r="D161" s="358">
        <v>1021011</v>
      </c>
      <c r="E161" s="358">
        <v>1</v>
      </c>
      <c r="F161" s="358"/>
      <c r="G161" s="358">
        <v>900</v>
      </c>
      <c r="H161" s="358">
        <v>14.3</v>
      </c>
      <c r="I161" s="358"/>
      <c r="J161" s="358" t="s">
        <v>256</v>
      </c>
      <c r="K161" s="359" t="b">
        <f t="shared" si="5"/>
        <v>1</v>
      </c>
      <c r="L161" s="359">
        <v>5</v>
      </c>
      <c r="M161" s="360">
        <v>2021</v>
      </c>
      <c r="N161" s="361">
        <v>0</v>
      </c>
      <c r="O161" s="362">
        <v>42642</v>
      </c>
      <c r="P161" s="362">
        <v>42642</v>
      </c>
    </row>
    <row r="162" spans="1:16" ht="14.25">
      <c r="A162" s="356">
        <v>2016</v>
      </c>
      <c r="B162" s="357" t="s">
        <v>476</v>
      </c>
      <c r="C162" s="357" t="s">
        <v>477</v>
      </c>
      <c r="D162" s="358">
        <v>1021011</v>
      </c>
      <c r="E162" s="358">
        <v>1</v>
      </c>
      <c r="F162" s="358"/>
      <c r="G162" s="358">
        <v>900</v>
      </c>
      <c r="H162" s="358">
        <v>14.3</v>
      </c>
      <c r="I162" s="358"/>
      <c r="J162" s="358" t="s">
        <v>256</v>
      </c>
      <c r="K162" s="359" t="b">
        <f t="shared" si="5"/>
        <v>1</v>
      </c>
      <c r="L162" s="359">
        <v>6</v>
      </c>
      <c r="M162" s="360">
        <v>2022</v>
      </c>
      <c r="N162" s="361">
        <v>0</v>
      </c>
      <c r="O162" s="362">
        <v>42642</v>
      </c>
      <c r="P162" s="362">
        <v>42642</v>
      </c>
    </row>
    <row r="163" spans="1:16" ht="14.25">
      <c r="A163" s="356">
        <v>2016</v>
      </c>
      <c r="B163" s="357" t="s">
        <v>476</v>
      </c>
      <c r="C163" s="357" t="s">
        <v>477</v>
      </c>
      <c r="D163" s="358">
        <v>1021011</v>
      </c>
      <c r="E163" s="358">
        <v>1</v>
      </c>
      <c r="F163" s="358"/>
      <c r="G163" s="358">
        <v>900</v>
      </c>
      <c r="H163" s="358">
        <v>14.3</v>
      </c>
      <c r="I163" s="358"/>
      <c r="J163" s="358" t="s">
        <v>256</v>
      </c>
      <c r="K163" s="359" t="b">
        <f t="shared" si="5"/>
        <v>1</v>
      </c>
      <c r="L163" s="359">
        <v>3</v>
      </c>
      <c r="M163" s="360">
        <v>2019</v>
      </c>
      <c r="N163" s="361">
        <v>0</v>
      </c>
      <c r="O163" s="362">
        <v>42642</v>
      </c>
      <c r="P163" s="362">
        <v>42642</v>
      </c>
    </row>
    <row r="164" spans="1:16" ht="14.25">
      <c r="A164" s="356">
        <v>2016</v>
      </c>
      <c r="B164" s="357" t="s">
        <v>476</v>
      </c>
      <c r="C164" s="357" t="s">
        <v>477</v>
      </c>
      <c r="D164" s="358">
        <v>1021011</v>
      </c>
      <c r="E164" s="358">
        <v>1</v>
      </c>
      <c r="F164" s="358"/>
      <c r="G164" s="358">
        <v>900</v>
      </c>
      <c r="H164" s="358">
        <v>14.3</v>
      </c>
      <c r="I164" s="358"/>
      <c r="J164" s="358" t="s">
        <v>256</v>
      </c>
      <c r="K164" s="359" t="b">
        <f t="shared" si="5"/>
        <v>1</v>
      </c>
      <c r="L164" s="359">
        <v>7</v>
      </c>
      <c r="M164" s="360">
        <v>2023</v>
      </c>
      <c r="N164" s="361">
        <v>0</v>
      </c>
      <c r="O164" s="362">
        <v>42642</v>
      </c>
      <c r="P164" s="362">
        <v>42642</v>
      </c>
    </row>
    <row r="165" spans="1:16" ht="14.25">
      <c r="A165" s="356">
        <v>2016</v>
      </c>
      <c r="B165" s="357" t="s">
        <v>476</v>
      </c>
      <c r="C165" s="357" t="s">
        <v>477</v>
      </c>
      <c r="D165" s="358">
        <v>1021011</v>
      </c>
      <c r="E165" s="358">
        <v>1</v>
      </c>
      <c r="F165" s="358"/>
      <c r="G165" s="358">
        <v>900</v>
      </c>
      <c r="H165" s="358">
        <v>14.3</v>
      </c>
      <c r="I165" s="358"/>
      <c r="J165" s="358" t="s">
        <v>256</v>
      </c>
      <c r="K165" s="359" t="b">
        <f t="shared" si="5"/>
        <v>1</v>
      </c>
      <c r="L165" s="359">
        <v>8</v>
      </c>
      <c r="M165" s="360">
        <v>2024</v>
      </c>
      <c r="N165" s="361">
        <v>0</v>
      </c>
      <c r="O165" s="362">
        <v>42642</v>
      </c>
      <c r="P165" s="362">
        <v>42642</v>
      </c>
    </row>
    <row r="166" spans="1:16" ht="14.25">
      <c r="A166" s="356">
        <v>2016</v>
      </c>
      <c r="B166" s="357" t="s">
        <v>476</v>
      </c>
      <c r="C166" s="357" t="s">
        <v>477</v>
      </c>
      <c r="D166" s="358">
        <v>1021011</v>
      </c>
      <c r="E166" s="358">
        <v>1</v>
      </c>
      <c r="F166" s="358"/>
      <c r="G166" s="358">
        <v>850</v>
      </c>
      <c r="H166" s="358">
        <v>13.6</v>
      </c>
      <c r="I166" s="358"/>
      <c r="J166" s="358" t="s">
        <v>243</v>
      </c>
      <c r="K166" s="359" t="b">
        <f t="shared" si="5"/>
        <v>1</v>
      </c>
      <c r="L166" s="359">
        <v>0</v>
      </c>
      <c r="M166" s="360">
        <v>2016</v>
      </c>
      <c r="N166" s="361">
        <v>0</v>
      </c>
      <c r="O166" s="362">
        <v>42642</v>
      </c>
      <c r="P166" s="362">
        <v>42642</v>
      </c>
    </row>
    <row r="167" spans="1:16" ht="14.25">
      <c r="A167" s="356">
        <v>2016</v>
      </c>
      <c r="B167" s="357" t="s">
        <v>476</v>
      </c>
      <c r="C167" s="357" t="s">
        <v>477</v>
      </c>
      <c r="D167" s="358">
        <v>1021011</v>
      </c>
      <c r="E167" s="358">
        <v>1</v>
      </c>
      <c r="F167" s="358"/>
      <c r="G167" s="358">
        <v>850</v>
      </c>
      <c r="H167" s="358">
        <v>13.6</v>
      </c>
      <c r="I167" s="358"/>
      <c r="J167" s="358" t="s">
        <v>243</v>
      </c>
      <c r="K167" s="359" t="b">
        <f t="shared" si="5"/>
        <v>1</v>
      </c>
      <c r="L167" s="359">
        <v>6</v>
      </c>
      <c r="M167" s="360">
        <v>2022</v>
      </c>
      <c r="N167" s="361">
        <v>0</v>
      </c>
      <c r="O167" s="362">
        <v>42642</v>
      </c>
      <c r="P167" s="362">
        <v>42642</v>
      </c>
    </row>
    <row r="168" spans="1:16" ht="14.25">
      <c r="A168" s="356">
        <v>2016</v>
      </c>
      <c r="B168" s="357" t="s">
        <v>476</v>
      </c>
      <c r="C168" s="357" t="s">
        <v>477</v>
      </c>
      <c r="D168" s="358">
        <v>1021011</v>
      </c>
      <c r="E168" s="358">
        <v>1</v>
      </c>
      <c r="F168" s="358"/>
      <c r="G168" s="358">
        <v>850</v>
      </c>
      <c r="H168" s="358">
        <v>13.6</v>
      </c>
      <c r="I168" s="358"/>
      <c r="J168" s="358" t="s">
        <v>243</v>
      </c>
      <c r="K168" s="359" t="b">
        <f t="shared" si="5"/>
        <v>1</v>
      </c>
      <c r="L168" s="359">
        <v>8</v>
      </c>
      <c r="M168" s="360">
        <v>2024</v>
      </c>
      <c r="N168" s="361">
        <v>0</v>
      </c>
      <c r="O168" s="362">
        <v>42642</v>
      </c>
      <c r="P168" s="362">
        <v>42642</v>
      </c>
    </row>
    <row r="169" spans="1:16" ht="14.25">
      <c r="A169" s="356">
        <v>2016</v>
      </c>
      <c r="B169" s="357" t="s">
        <v>476</v>
      </c>
      <c r="C169" s="357" t="s">
        <v>477</v>
      </c>
      <c r="D169" s="358">
        <v>1021011</v>
      </c>
      <c r="E169" s="358">
        <v>1</v>
      </c>
      <c r="F169" s="358"/>
      <c r="G169" s="358">
        <v>850</v>
      </c>
      <c r="H169" s="358">
        <v>13.6</v>
      </c>
      <c r="I169" s="358"/>
      <c r="J169" s="358" t="s">
        <v>243</v>
      </c>
      <c r="K169" s="359" t="b">
        <f t="shared" si="5"/>
        <v>1</v>
      </c>
      <c r="L169" s="359">
        <v>1</v>
      </c>
      <c r="M169" s="360">
        <v>2017</v>
      </c>
      <c r="N169" s="361">
        <v>0</v>
      </c>
      <c r="O169" s="362">
        <v>42642</v>
      </c>
      <c r="P169" s="362">
        <v>42642</v>
      </c>
    </row>
    <row r="170" spans="1:16" ht="14.25">
      <c r="A170" s="356">
        <v>2016</v>
      </c>
      <c r="B170" s="357" t="s">
        <v>476</v>
      </c>
      <c r="C170" s="357" t="s">
        <v>477</v>
      </c>
      <c r="D170" s="358">
        <v>1021011</v>
      </c>
      <c r="E170" s="358">
        <v>1</v>
      </c>
      <c r="F170" s="358"/>
      <c r="G170" s="358">
        <v>850</v>
      </c>
      <c r="H170" s="358">
        <v>13.6</v>
      </c>
      <c r="I170" s="358"/>
      <c r="J170" s="358" t="s">
        <v>243</v>
      </c>
      <c r="K170" s="359" t="b">
        <f t="shared" si="5"/>
        <v>1</v>
      </c>
      <c r="L170" s="359">
        <v>7</v>
      </c>
      <c r="M170" s="360">
        <v>2023</v>
      </c>
      <c r="N170" s="361">
        <v>0</v>
      </c>
      <c r="O170" s="362">
        <v>42642</v>
      </c>
      <c r="P170" s="362">
        <v>42642</v>
      </c>
    </row>
    <row r="171" spans="1:16" ht="14.25">
      <c r="A171" s="356">
        <v>2016</v>
      </c>
      <c r="B171" s="357" t="s">
        <v>476</v>
      </c>
      <c r="C171" s="357" t="s">
        <v>477</v>
      </c>
      <c r="D171" s="358">
        <v>1021011</v>
      </c>
      <c r="E171" s="358">
        <v>1</v>
      </c>
      <c r="F171" s="358"/>
      <c r="G171" s="358">
        <v>850</v>
      </c>
      <c r="H171" s="358">
        <v>13.6</v>
      </c>
      <c r="I171" s="358"/>
      <c r="J171" s="358" t="s">
        <v>243</v>
      </c>
      <c r="K171" s="359" t="b">
        <f t="shared" si="5"/>
        <v>1</v>
      </c>
      <c r="L171" s="359">
        <v>4</v>
      </c>
      <c r="M171" s="360">
        <v>2020</v>
      </c>
      <c r="N171" s="361">
        <v>0</v>
      </c>
      <c r="O171" s="362">
        <v>42642</v>
      </c>
      <c r="P171" s="362">
        <v>42642</v>
      </c>
    </row>
    <row r="172" spans="1:16" ht="14.25">
      <c r="A172" s="356">
        <v>2016</v>
      </c>
      <c r="B172" s="357" t="s">
        <v>476</v>
      </c>
      <c r="C172" s="357" t="s">
        <v>477</v>
      </c>
      <c r="D172" s="358">
        <v>1021011</v>
      </c>
      <c r="E172" s="358">
        <v>1</v>
      </c>
      <c r="F172" s="358"/>
      <c r="G172" s="358">
        <v>850</v>
      </c>
      <c r="H172" s="358">
        <v>13.6</v>
      </c>
      <c r="I172" s="358"/>
      <c r="J172" s="358" t="s">
        <v>243</v>
      </c>
      <c r="K172" s="359" t="b">
        <f t="shared" si="5"/>
        <v>1</v>
      </c>
      <c r="L172" s="359">
        <v>3</v>
      </c>
      <c r="M172" s="360">
        <v>2019</v>
      </c>
      <c r="N172" s="361">
        <v>0</v>
      </c>
      <c r="O172" s="362">
        <v>42642</v>
      </c>
      <c r="P172" s="362">
        <v>42642</v>
      </c>
    </row>
    <row r="173" spans="1:16" ht="14.25">
      <c r="A173" s="356">
        <v>2016</v>
      </c>
      <c r="B173" s="357" t="s">
        <v>476</v>
      </c>
      <c r="C173" s="357" t="s">
        <v>477</v>
      </c>
      <c r="D173" s="358">
        <v>1021011</v>
      </c>
      <c r="E173" s="358">
        <v>1</v>
      </c>
      <c r="F173" s="358"/>
      <c r="G173" s="358">
        <v>850</v>
      </c>
      <c r="H173" s="358">
        <v>13.6</v>
      </c>
      <c r="I173" s="358"/>
      <c r="J173" s="358" t="s">
        <v>243</v>
      </c>
      <c r="K173" s="359" t="b">
        <f t="shared" si="5"/>
        <v>1</v>
      </c>
      <c r="L173" s="359">
        <v>5</v>
      </c>
      <c r="M173" s="360">
        <v>2021</v>
      </c>
      <c r="N173" s="361">
        <v>0</v>
      </c>
      <c r="O173" s="362">
        <v>42642</v>
      </c>
      <c r="P173" s="362">
        <v>42642</v>
      </c>
    </row>
    <row r="174" spans="1:16" ht="14.25">
      <c r="A174" s="356">
        <v>2016</v>
      </c>
      <c r="B174" s="357" t="s">
        <v>476</v>
      </c>
      <c r="C174" s="357" t="s">
        <v>477</v>
      </c>
      <c r="D174" s="358">
        <v>1021011</v>
      </c>
      <c r="E174" s="358">
        <v>1</v>
      </c>
      <c r="F174" s="358"/>
      <c r="G174" s="358">
        <v>850</v>
      </c>
      <c r="H174" s="358">
        <v>13.6</v>
      </c>
      <c r="I174" s="358"/>
      <c r="J174" s="358" t="s">
        <v>243</v>
      </c>
      <c r="K174" s="359" t="b">
        <f t="shared" si="5"/>
        <v>1</v>
      </c>
      <c r="L174" s="359">
        <v>2</v>
      </c>
      <c r="M174" s="360">
        <v>2018</v>
      </c>
      <c r="N174" s="361">
        <v>0</v>
      </c>
      <c r="O174" s="362">
        <v>42642</v>
      </c>
      <c r="P174" s="362">
        <v>42642</v>
      </c>
    </row>
    <row r="175" spans="1:16" ht="14.25">
      <c r="A175" s="356">
        <v>2016</v>
      </c>
      <c r="B175" s="357" t="s">
        <v>476</v>
      </c>
      <c r="C175" s="357" t="s">
        <v>477</v>
      </c>
      <c r="D175" s="358">
        <v>1021011</v>
      </c>
      <c r="E175" s="358">
        <v>1</v>
      </c>
      <c r="F175" s="358"/>
      <c r="G175" s="358">
        <v>610</v>
      </c>
      <c r="H175" s="358" t="s">
        <v>157</v>
      </c>
      <c r="I175" s="358"/>
      <c r="J175" s="358" t="s">
        <v>451</v>
      </c>
      <c r="K175" s="359" t="b">
        <f t="shared" si="5"/>
        <v>1</v>
      </c>
      <c r="L175" s="359">
        <v>1</v>
      </c>
      <c r="M175" s="360">
        <v>2017</v>
      </c>
      <c r="N175" s="361">
        <v>20200</v>
      </c>
      <c r="O175" s="362">
        <v>42642</v>
      </c>
      <c r="P175" s="362">
        <v>42642</v>
      </c>
    </row>
    <row r="176" spans="1:16" ht="14.25">
      <c r="A176" s="356">
        <v>2016</v>
      </c>
      <c r="B176" s="357" t="s">
        <v>476</v>
      </c>
      <c r="C176" s="357" t="s">
        <v>477</v>
      </c>
      <c r="D176" s="358">
        <v>1021011</v>
      </c>
      <c r="E176" s="358">
        <v>1</v>
      </c>
      <c r="F176" s="358"/>
      <c r="G176" s="358">
        <v>610</v>
      </c>
      <c r="H176" s="358" t="s">
        <v>157</v>
      </c>
      <c r="I176" s="358"/>
      <c r="J176" s="358" t="s">
        <v>451</v>
      </c>
      <c r="K176" s="359" t="b">
        <f t="shared" si="5"/>
        <v>1</v>
      </c>
      <c r="L176" s="359">
        <v>8</v>
      </c>
      <c r="M176" s="360">
        <v>2024</v>
      </c>
      <c r="N176" s="361">
        <v>0</v>
      </c>
      <c r="O176" s="362">
        <v>42642</v>
      </c>
      <c r="P176" s="362">
        <v>42642</v>
      </c>
    </row>
    <row r="177" spans="1:16" ht="14.25">
      <c r="A177" s="356">
        <v>2016</v>
      </c>
      <c r="B177" s="357" t="s">
        <v>476</v>
      </c>
      <c r="C177" s="357" t="s">
        <v>477</v>
      </c>
      <c r="D177" s="358">
        <v>1021011</v>
      </c>
      <c r="E177" s="358">
        <v>1</v>
      </c>
      <c r="F177" s="358"/>
      <c r="G177" s="358">
        <v>610</v>
      </c>
      <c r="H177" s="358" t="s">
        <v>157</v>
      </c>
      <c r="I177" s="358"/>
      <c r="J177" s="358" t="s">
        <v>451</v>
      </c>
      <c r="K177" s="359" t="b">
        <f t="shared" si="5"/>
        <v>1</v>
      </c>
      <c r="L177" s="359">
        <v>6</v>
      </c>
      <c r="M177" s="360">
        <v>2022</v>
      </c>
      <c r="N177" s="361">
        <v>0</v>
      </c>
      <c r="O177" s="362">
        <v>42642</v>
      </c>
      <c r="P177" s="362">
        <v>42642</v>
      </c>
    </row>
    <row r="178" spans="1:16" ht="14.25">
      <c r="A178" s="356">
        <v>2016</v>
      </c>
      <c r="B178" s="357" t="s">
        <v>476</v>
      </c>
      <c r="C178" s="357" t="s">
        <v>477</v>
      </c>
      <c r="D178" s="358">
        <v>1021011</v>
      </c>
      <c r="E178" s="358">
        <v>1</v>
      </c>
      <c r="F178" s="358"/>
      <c r="G178" s="358">
        <v>610</v>
      </c>
      <c r="H178" s="358" t="s">
        <v>157</v>
      </c>
      <c r="I178" s="358"/>
      <c r="J178" s="358" t="s">
        <v>451</v>
      </c>
      <c r="K178" s="359" t="b">
        <f t="shared" si="5"/>
        <v>1</v>
      </c>
      <c r="L178" s="359">
        <v>0</v>
      </c>
      <c r="M178" s="360">
        <v>2016</v>
      </c>
      <c r="N178" s="361">
        <v>13250</v>
      </c>
      <c r="O178" s="362">
        <v>42642</v>
      </c>
      <c r="P178" s="362">
        <v>42642</v>
      </c>
    </row>
    <row r="179" spans="1:16" ht="14.25">
      <c r="A179" s="356">
        <v>2016</v>
      </c>
      <c r="B179" s="357" t="s">
        <v>476</v>
      </c>
      <c r="C179" s="357" t="s">
        <v>477</v>
      </c>
      <c r="D179" s="358">
        <v>1021011</v>
      </c>
      <c r="E179" s="358">
        <v>1</v>
      </c>
      <c r="F179" s="358"/>
      <c r="G179" s="358">
        <v>610</v>
      </c>
      <c r="H179" s="358" t="s">
        <v>157</v>
      </c>
      <c r="I179" s="358"/>
      <c r="J179" s="358" t="s">
        <v>451</v>
      </c>
      <c r="K179" s="359" t="b">
        <f t="shared" si="5"/>
        <v>1</v>
      </c>
      <c r="L179" s="359">
        <v>2</v>
      </c>
      <c r="M179" s="360">
        <v>2018</v>
      </c>
      <c r="N179" s="361">
        <v>2450</v>
      </c>
      <c r="O179" s="362">
        <v>42642</v>
      </c>
      <c r="P179" s="362">
        <v>42642</v>
      </c>
    </row>
    <row r="180" spans="1:16" ht="14.25">
      <c r="A180" s="356">
        <v>2016</v>
      </c>
      <c r="B180" s="357" t="s">
        <v>476</v>
      </c>
      <c r="C180" s="357" t="s">
        <v>477</v>
      </c>
      <c r="D180" s="358">
        <v>1021011</v>
      </c>
      <c r="E180" s="358">
        <v>1</v>
      </c>
      <c r="F180" s="358"/>
      <c r="G180" s="358">
        <v>610</v>
      </c>
      <c r="H180" s="358" t="s">
        <v>157</v>
      </c>
      <c r="I180" s="358"/>
      <c r="J180" s="358" t="s">
        <v>451</v>
      </c>
      <c r="K180" s="359" t="b">
        <f t="shared" si="5"/>
        <v>1</v>
      </c>
      <c r="L180" s="359">
        <v>3</v>
      </c>
      <c r="M180" s="360">
        <v>2019</v>
      </c>
      <c r="N180" s="361">
        <v>3100</v>
      </c>
      <c r="O180" s="362">
        <v>42642</v>
      </c>
      <c r="P180" s="362">
        <v>42642</v>
      </c>
    </row>
    <row r="181" spans="1:16" ht="14.25">
      <c r="A181" s="356">
        <v>2016</v>
      </c>
      <c r="B181" s="357" t="s">
        <v>476</v>
      </c>
      <c r="C181" s="357" t="s">
        <v>477</v>
      </c>
      <c r="D181" s="358">
        <v>1021011</v>
      </c>
      <c r="E181" s="358">
        <v>1</v>
      </c>
      <c r="F181" s="358"/>
      <c r="G181" s="358">
        <v>610</v>
      </c>
      <c r="H181" s="358" t="s">
        <v>157</v>
      </c>
      <c r="I181" s="358"/>
      <c r="J181" s="358" t="s">
        <v>451</v>
      </c>
      <c r="K181" s="359" t="b">
        <f t="shared" si="5"/>
        <v>1</v>
      </c>
      <c r="L181" s="359">
        <v>4</v>
      </c>
      <c r="M181" s="360">
        <v>2020</v>
      </c>
      <c r="N181" s="361">
        <v>0</v>
      </c>
      <c r="O181" s="362">
        <v>42642</v>
      </c>
      <c r="P181" s="362">
        <v>42642</v>
      </c>
    </row>
    <row r="182" spans="1:16" ht="14.25">
      <c r="A182" s="356">
        <v>2016</v>
      </c>
      <c r="B182" s="357" t="s">
        <v>476</v>
      </c>
      <c r="C182" s="357" t="s">
        <v>477</v>
      </c>
      <c r="D182" s="358">
        <v>1021011</v>
      </c>
      <c r="E182" s="358">
        <v>1</v>
      </c>
      <c r="F182" s="358"/>
      <c r="G182" s="358">
        <v>610</v>
      </c>
      <c r="H182" s="358" t="s">
        <v>157</v>
      </c>
      <c r="I182" s="358"/>
      <c r="J182" s="358" t="s">
        <v>451</v>
      </c>
      <c r="K182" s="359" t="b">
        <f t="shared" si="5"/>
        <v>1</v>
      </c>
      <c r="L182" s="359">
        <v>7</v>
      </c>
      <c r="M182" s="360">
        <v>2023</v>
      </c>
      <c r="N182" s="361">
        <v>0</v>
      </c>
      <c r="O182" s="362">
        <v>42642</v>
      </c>
      <c r="P182" s="362">
        <v>42642</v>
      </c>
    </row>
    <row r="183" spans="1:16" ht="14.25">
      <c r="A183" s="356">
        <v>2016</v>
      </c>
      <c r="B183" s="357" t="s">
        <v>476</v>
      </c>
      <c r="C183" s="357" t="s">
        <v>477</v>
      </c>
      <c r="D183" s="358">
        <v>1021011</v>
      </c>
      <c r="E183" s="358">
        <v>1</v>
      </c>
      <c r="F183" s="358"/>
      <c r="G183" s="358">
        <v>610</v>
      </c>
      <c r="H183" s="358" t="s">
        <v>157</v>
      </c>
      <c r="I183" s="358"/>
      <c r="J183" s="358" t="s">
        <v>451</v>
      </c>
      <c r="K183" s="359" t="b">
        <f t="shared" si="5"/>
        <v>1</v>
      </c>
      <c r="L183" s="359">
        <v>5</v>
      </c>
      <c r="M183" s="360">
        <v>2021</v>
      </c>
      <c r="N183" s="361">
        <v>0</v>
      </c>
      <c r="O183" s="362">
        <v>42642</v>
      </c>
      <c r="P183" s="362">
        <v>42642</v>
      </c>
    </row>
    <row r="184" spans="1:16" ht="14.25">
      <c r="A184" s="356">
        <v>2016</v>
      </c>
      <c r="B184" s="357" t="s">
        <v>476</v>
      </c>
      <c r="C184" s="357" t="s">
        <v>477</v>
      </c>
      <c r="D184" s="358">
        <v>1021011</v>
      </c>
      <c r="E184" s="358">
        <v>1</v>
      </c>
      <c r="F184" s="358"/>
      <c r="G184" s="358">
        <v>130</v>
      </c>
      <c r="H184" s="358">
        <v>2.1</v>
      </c>
      <c r="I184" s="358"/>
      <c r="J184" s="358" t="s">
        <v>445</v>
      </c>
      <c r="K184" s="359" t="b">
        <f t="shared" si="5"/>
        <v>1</v>
      </c>
      <c r="L184" s="359">
        <v>7</v>
      </c>
      <c r="M184" s="360">
        <v>2023</v>
      </c>
      <c r="N184" s="361">
        <v>38100000</v>
      </c>
      <c r="O184" s="362">
        <v>42642</v>
      </c>
      <c r="P184" s="362">
        <v>42642</v>
      </c>
    </row>
    <row r="185" spans="1:16" ht="14.25">
      <c r="A185" s="356">
        <v>2016</v>
      </c>
      <c r="B185" s="357" t="s">
        <v>476</v>
      </c>
      <c r="C185" s="357" t="s">
        <v>477</v>
      </c>
      <c r="D185" s="358">
        <v>1021011</v>
      </c>
      <c r="E185" s="358">
        <v>1</v>
      </c>
      <c r="F185" s="358"/>
      <c r="G185" s="358">
        <v>130</v>
      </c>
      <c r="H185" s="358">
        <v>2.1</v>
      </c>
      <c r="I185" s="358"/>
      <c r="J185" s="358" t="s">
        <v>445</v>
      </c>
      <c r="K185" s="359" t="b">
        <f t="shared" si="5"/>
        <v>1</v>
      </c>
      <c r="L185" s="359">
        <v>0</v>
      </c>
      <c r="M185" s="360">
        <v>2016</v>
      </c>
      <c r="N185" s="361">
        <v>38501519.04</v>
      </c>
      <c r="O185" s="362">
        <v>42642</v>
      </c>
      <c r="P185" s="362">
        <v>42642</v>
      </c>
    </row>
    <row r="186" spans="1:16" ht="14.25">
      <c r="A186" s="356">
        <v>2016</v>
      </c>
      <c r="B186" s="357" t="s">
        <v>476</v>
      </c>
      <c r="C186" s="357" t="s">
        <v>477</v>
      </c>
      <c r="D186" s="358">
        <v>1021011</v>
      </c>
      <c r="E186" s="358">
        <v>1</v>
      </c>
      <c r="F186" s="358"/>
      <c r="G186" s="358">
        <v>130</v>
      </c>
      <c r="H186" s="358">
        <v>2.1</v>
      </c>
      <c r="I186" s="358"/>
      <c r="J186" s="358" t="s">
        <v>445</v>
      </c>
      <c r="K186" s="359" t="b">
        <f t="shared" si="5"/>
        <v>1</v>
      </c>
      <c r="L186" s="359">
        <v>8</v>
      </c>
      <c r="M186" s="360">
        <v>2024</v>
      </c>
      <c r="N186" s="361">
        <v>38600000</v>
      </c>
      <c r="O186" s="362">
        <v>42642</v>
      </c>
      <c r="P186" s="362">
        <v>42642</v>
      </c>
    </row>
    <row r="187" spans="1:16" ht="14.25">
      <c r="A187" s="356">
        <v>2016</v>
      </c>
      <c r="B187" s="357" t="s">
        <v>476</v>
      </c>
      <c r="C187" s="357" t="s">
        <v>477</v>
      </c>
      <c r="D187" s="358">
        <v>1021011</v>
      </c>
      <c r="E187" s="358">
        <v>1</v>
      </c>
      <c r="F187" s="358"/>
      <c r="G187" s="358">
        <v>130</v>
      </c>
      <c r="H187" s="358">
        <v>2.1</v>
      </c>
      <c r="I187" s="358"/>
      <c r="J187" s="358" t="s">
        <v>445</v>
      </c>
      <c r="K187" s="359" t="b">
        <f t="shared" si="5"/>
        <v>1</v>
      </c>
      <c r="L187" s="359">
        <v>4</v>
      </c>
      <c r="M187" s="360">
        <v>2020</v>
      </c>
      <c r="N187" s="361">
        <v>36600000</v>
      </c>
      <c r="O187" s="362">
        <v>42642</v>
      </c>
      <c r="P187" s="362">
        <v>42642</v>
      </c>
    </row>
    <row r="188" spans="1:16" ht="14.25">
      <c r="A188" s="356">
        <v>2016</v>
      </c>
      <c r="B188" s="357" t="s">
        <v>476</v>
      </c>
      <c r="C188" s="357" t="s">
        <v>477</v>
      </c>
      <c r="D188" s="358">
        <v>1021011</v>
      </c>
      <c r="E188" s="358">
        <v>1</v>
      </c>
      <c r="F188" s="358"/>
      <c r="G188" s="358">
        <v>130</v>
      </c>
      <c r="H188" s="358">
        <v>2.1</v>
      </c>
      <c r="I188" s="358"/>
      <c r="J188" s="358" t="s">
        <v>445</v>
      </c>
      <c r="K188" s="359" t="b">
        <f t="shared" si="5"/>
        <v>1</v>
      </c>
      <c r="L188" s="359">
        <v>1</v>
      </c>
      <c r="M188" s="360">
        <v>2017</v>
      </c>
      <c r="N188" s="361">
        <v>35100000</v>
      </c>
      <c r="O188" s="362">
        <v>42642</v>
      </c>
      <c r="P188" s="362">
        <v>42642</v>
      </c>
    </row>
    <row r="189" spans="1:16" ht="14.25">
      <c r="A189" s="356">
        <v>2016</v>
      </c>
      <c r="B189" s="357" t="s">
        <v>476</v>
      </c>
      <c r="C189" s="357" t="s">
        <v>477</v>
      </c>
      <c r="D189" s="358">
        <v>1021011</v>
      </c>
      <c r="E189" s="358">
        <v>1</v>
      </c>
      <c r="F189" s="358"/>
      <c r="G189" s="358">
        <v>130</v>
      </c>
      <c r="H189" s="358">
        <v>2.1</v>
      </c>
      <c r="I189" s="358"/>
      <c r="J189" s="358" t="s">
        <v>445</v>
      </c>
      <c r="K189" s="359" t="b">
        <f t="shared" si="5"/>
        <v>1</v>
      </c>
      <c r="L189" s="359">
        <v>2</v>
      </c>
      <c r="M189" s="360">
        <v>2018</v>
      </c>
      <c r="N189" s="361">
        <v>35600000</v>
      </c>
      <c r="O189" s="362">
        <v>42642</v>
      </c>
      <c r="P189" s="362">
        <v>42642</v>
      </c>
    </row>
    <row r="190" spans="1:16" ht="14.25">
      <c r="A190" s="356">
        <v>2016</v>
      </c>
      <c r="B190" s="357" t="s">
        <v>476</v>
      </c>
      <c r="C190" s="357" t="s">
        <v>477</v>
      </c>
      <c r="D190" s="358">
        <v>1021011</v>
      </c>
      <c r="E190" s="358">
        <v>1</v>
      </c>
      <c r="F190" s="358"/>
      <c r="G190" s="358">
        <v>130</v>
      </c>
      <c r="H190" s="358">
        <v>2.1</v>
      </c>
      <c r="I190" s="358"/>
      <c r="J190" s="358" t="s">
        <v>445</v>
      </c>
      <c r="K190" s="359" t="b">
        <f t="shared" si="5"/>
        <v>1</v>
      </c>
      <c r="L190" s="359">
        <v>6</v>
      </c>
      <c r="M190" s="360">
        <v>2022</v>
      </c>
      <c r="N190" s="361">
        <v>37600000</v>
      </c>
      <c r="O190" s="362">
        <v>42642</v>
      </c>
      <c r="P190" s="362">
        <v>42642</v>
      </c>
    </row>
    <row r="191" spans="1:16" ht="14.25">
      <c r="A191" s="356">
        <v>2016</v>
      </c>
      <c r="B191" s="357" t="s">
        <v>476</v>
      </c>
      <c r="C191" s="357" t="s">
        <v>477</v>
      </c>
      <c r="D191" s="358">
        <v>1021011</v>
      </c>
      <c r="E191" s="358">
        <v>1</v>
      </c>
      <c r="F191" s="358"/>
      <c r="G191" s="358">
        <v>130</v>
      </c>
      <c r="H191" s="358">
        <v>2.1</v>
      </c>
      <c r="I191" s="358"/>
      <c r="J191" s="358" t="s">
        <v>445</v>
      </c>
      <c r="K191" s="359" t="b">
        <f t="shared" si="5"/>
        <v>1</v>
      </c>
      <c r="L191" s="359">
        <v>3</v>
      </c>
      <c r="M191" s="360">
        <v>2019</v>
      </c>
      <c r="N191" s="361">
        <v>36100000</v>
      </c>
      <c r="O191" s="362">
        <v>42642</v>
      </c>
      <c r="P191" s="362">
        <v>42642</v>
      </c>
    </row>
    <row r="192" spans="1:16" ht="14.25">
      <c r="A192" s="356">
        <v>2016</v>
      </c>
      <c r="B192" s="357" t="s">
        <v>476</v>
      </c>
      <c r="C192" s="357" t="s">
        <v>477</v>
      </c>
      <c r="D192" s="358">
        <v>1021011</v>
      </c>
      <c r="E192" s="358">
        <v>1</v>
      </c>
      <c r="F192" s="358"/>
      <c r="G192" s="358">
        <v>130</v>
      </c>
      <c r="H192" s="358">
        <v>2.1</v>
      </c>
      <c r="I192" s="358"/>
      <c r="J192" s="358" t="s">
        <v>445</v>
      </c>
      <c r="K192" s="359" t="b">
        <f t="shared" si="5"/>
        <v>1</v>
      </c>
      <c r="L192" s="359">
        <v>5</v>
      </c>
      <c r="M192" s="360">
        <v>2021</v>
      </c>
      <c r="N192" s="361">
        <v>37100000</v>
      </c>
      <c r="O192" s="362">
        <v>42642</v>
      </c>
      <c r="P192" s="362">
        <v>42642</v>
      </c>
    </row>
    <row r="193" spans="1:16" ht="14.25">
      <c r="A193" s="356">
        <v>2016</v>
      </c>
      <c r="B193" s="357" t="s">
        <v>476</v>
      </c>
      <c r="C193" s="357" t="s">
        <v>477</v>
      </c>
      <c r="D193" s="358">
        <v>1021011</v>
      </c>
      <c r="E193" s="358">
        <v>1</v>
      </c>
      <c r="F193" s="358"/>
      <c r="G193" s="358">
        <v>970</v>
      </c>
      <c r="H193" s="358" t="s">
        <v>274</v>
      </c>
      <c r="I193" s="358"/>
      <c r="J193" s="358" t="s">
        <v>275</v>
      </c>
      <c r="K193" s="359" t="b">
        <f t="shared" si="5"/>
        <v>1</v>
      </c>
      <c r="L193" s="359">
        <v>1</v>
      </c>
      <c r="M193" s="360">
        <v>2017</v>
      </c>
      <c r="N193" s="361">
        <v>0</v>
      </c>
      <c r="O193" s="362">
        <v>42642</v>
      </c>
      <c r="P193" s="362">
        <v>42642</v>
      </c>
    </row>
    <row r="194" spans="1:16" ht="14.25">
      <c r="A194" s="356">
        <v>2016</v>
      </c>
      <c r="B194" s="357" t="s">
        <v>476</v>
      </c>
      <c r="C194" s="357" t="s">
        <v>477</v>
      </c>
      <c r="D194" s="358">
        <v>1021011</v>
      </c>
      <c r="E194" s="358">
        <v>1</v>
      </c>
      <c r="F194" s="358"/>
      <c r="G194" s="358">
        <v>970</v>
      </c>
      <c r="H194" s="358" t="s">
        <v>274</v>
      </c>
      <c r="I194" s="358"/>
      <c r="J194" s="358" t="s">
        <v>275</v>
      </c>
      <c r="K194" s="359" t="b">
        <f t="shared" si="5"/>
        <v>1</v>
      </c>
      <c r="L194" s="359">
        <v>4</v>
      </c>
      <c r="M194" s="360">
        <v>2020</v>
      </c>
      <c r="N194" s="361">
        <v>0</v>
      </c>
      <c r="O194" s="362">
        <v>42642</v>
      </c>
      <c r="P194" s="362">
        <v>42642</v>
      </c>
    </row>
    <row r="195" spans="1:16" ht="14.25">
      <c r="A195" s="356">
        <v>2016</v>
      </c>
      <c r="B195" s="357" t="s">
        <v>476</v>
      </c>
      <c r="C195" s="357" t="s">
        <v>477</v>
      </c>
      <c r="D195" s="358">
        <v>1021011</v>
      </c>
      <c r="E195" s="358">
        <v>1</v>
      </c>
      <c r="F195" s="358"/>
      <c r="G195" s="358">
        <v>970</v>
      </c>
      <c r="H195" s="358" t="s">
        <v>274</v>
      </c>
      <c r="I195" s="358"/>
      <c r="J195" s="358" t="s">
        <v>275</v>
      </c>
      <c r="K195" s="359" t="b">
        <f t="shared" si="5"/>
        <v>1</v>
      </c>
      <c r="L195" s="359">
        <v>6</v>
      </c>
      <c r="M195" s="360">
        <v>2022</v>
      </c>
      <c r="N195" s="361">
        <v>0</v>
      </c>
      <c r="O195" s="362">
        <v>42642</v>
      </c>
      <c r="P195" s="362">
        <v>42642</v>
      </c>
    </row>
    <row r="196" spans="1:16" ht="14.25">
      <c r="A196" s="356">
        <v>2016</v>
      </c>
      <c r="B196" s="357" t="s">
        <v>476</v>
      </c>
      <c r="C196" s="357" t="s">
        <v>477</v>
      </c>
      <c r="D196" s="358">
        <v>1021011</v>
      </c>
      <c r="E196" s="358">
        <v>1</v>
      </c>
      <c r="F196" s="358"/>
      <c r="G196" s="358">
        <v>970</v>
      </c>
      <c r="H196" s="358" t="s">
        <v>274</v>
      </c>
      <c r="I196" s="358"/>
      <c r="J196" s="358" t="s">
        <v>275</v>
      </c>
      <c r="K196" s="359" t="b">
        <f t="shared" si="5"/>
        <v>1</v>
      </c>
      <c r="L196" s="359">
        <v>7</v>
      </c>
      <c r="M196" s="360">
        <v>2023</v>
      </c>
      <c r="N196" s="361">
        <v>0</v>
      </c>
      <c r="O196" s="362">
        <v>42642</v>
      </c>
      <c r="P196" s="362">
        <v>42642</v>
      </c>
    </row>
    <row r="197" spans="1:16" ht="14.25">
      <c r="A197" s="356">
        <v>2016</v>
      </c>
      <c r="B197" s="357" t="s">
        <v>476</v>
      </c>
      <c r="C197" s="357" t="s">
        <v>477</v>
      </c>
      <c r="D197" s="358">
        <v>1021011</v>
      </c>
      <c r="E197" s="358">
        <v>1</v>
      </c>
      <c r="F197" s="358"/>
      <c r="G197" s="358">
        <v>970</v>
      </c>
      <c r="H197" s="358" t="s">
        <v>274</v>
      </c>
      <c r="I197" s="358"/>
      <c r="J197" s="358" t="s">
        <v>275</v>
      </c>
      <c r="K197" s="359" t="b">
        <f t="shared" si="5"/>
        <v>1</v>
      </c>
      <c r="L197" s="359">
        <v>2</v>
      </c>
      <c r="M197" s="360">
        <v>2018</v>
      </c>
      <c r="N197" s="361">
        <v>0</v>
      </c>
      <c r="O197" s="362">
        <v>42642</v>
      </c>
      <c r="P197" s="362">
        <v>42642</v>
      </c>
    </row>
    <row r="198" spans="1:16" ht="14.25">
      <c r="A198" s="356">
        <v>2016</v>
      </c>
      <c r="B198" s="357" t="s">
        <v>476</v>
      </c>
      <c r="C198" s="357" t="s">
        <v>477</v>
      </c>
      <c r="D198" s="358">
        <v>1021011</v>
      </c>
      <c r="E198" s="358">
        <v>1</v>
      </c>
      <c r="F198" s="358"/>
      <c r="G198" s="358">
        <v>970</v>
      </c>
      <c r="H198" s="358" t="s">
        <v>274</v>
      </c>
      <c r="I198" s="358"/>
      <c r="J198" s="358" t="s">
        <v>275</v>
      </c>
      <c r="K198" s="359" t="b">
        <f t="shared" si="5"/>
        <v>1</v>
      </c>
      <c r="L198" s="359">
        <v>8</v>
      </c>
      <c r="M198" s="360">
        <v>2024</v>
      </c>
      <c r="N198" s="361">
        <v>0</v>
      </c>
      <c r="O198" s="362">
        <v>42642</v>
      </c>
      <c r="P198" s="362">
        <v>42642</v>
      </c>
    </row>
    <row r="199" spans="1:16" ht="14.25">
      <c r="A199" s="356">
        <v>2016</v>
      </c>
      <c r="B199" s="357" t="s">
        <v>476</v>
      </c>
      <c r="C199" s="357" t="s">
        <v>477</v>
      </c>
      <c r="D199" s="358">
        <v>1021011</v>
      </c>
      <c r="E199" s="358">
        <v>1</v>
      </c>
      <c r="F199" s="358"/>
      <c r="G199" s="358">
        <v>970</v>
      </c>
      <c r="H199" s="358" t="s">
        <v>274</v>
      </c>
      <c r="I199" s="358"/>
      <c r="J199" s="358" t="s">
        <v>275</v>
      </c>
      <c r="K199" s="359" t="b">
        <f t="shared" si="5"/>
        <v>1</v>
      </c>
      <c r="L199" s="359">
        <v>5</v>
      </c>
      <c r="M199" s="360">
        <v>2021</v>
      </c>
      <c r="N199" s="361">
        <v>0</v>
      </c>
      <c r="O199" s="362">
        <v>42642</v>
      </c>
      <c r="P199" s="362">
        <v>42642</v>
      </c>
    </row>
    <row r="200" spans="1:16" ht="14.25">
      <c r="A200" s="356">
        <v>2016</v>
      </c>
      <c r="B200" s="357" t="s">
        <v>476</v>
      </c>
      <c r="C200" s="357" t="s">
        <v>477</v>
      </c>
      <c r="D200" s="358">
        <v>1021011</v>
      </c>
      <c r="E200" s="358">
        <v>1</v>
      </c>
      <c r="F200" s="358"/>
      <c r="G200" s="358">
        <v>970</v>
      </c>
      <c r="H200" s="358" t="s">
        <v>274</v>
      </c>
      <c r="I200" s="358"/>
      <c r="J200" s="358" t="s">
        <v>275</v>
      </c>
      <c r="K200" s="359" t="b">
        <f t="shared" si="5"/>
        <v>1</v>
      </c>
      <c r="L200" s="359">
        <v>3</v>
      </c>
      <c r="M200" s="360">
        <v>2019</v>
      </c>
      <c r="N200" s="361">
        <v>0</v>
      </c>
      <c r="O200" s="362">
        <v>42642</v>
      </c>
      <c r="P200" s="362">
        <v>42642</v>
      </c>
    </row>
    <row r="201" spans="1:16" ht="14.25">
      <c r="A201" s="356">
        <v>2016</v>
      </c>
      <c r="B201" s="357" t="s">
        <v>476</v>
      </c>
      <c r="C201" s="357" t="s">
        <v>477</v>
      </c>
      <c r="D201" s="358">
        <v>1021011</v>
      </c>
      <c r="E201" s="358">
        <v>1</v>
      </c>
      <c r="F201" s="358"/>
      <c r="G201" s="358">
        <v>970</v>
      </c>
      <c r="H201" s="358" t="s">
        <v>274</v>
      </c>
      <c r="I201" s="358"/>
      <c r="J201" s="358" t="s">
        <v>275</v>
      </c>
      <c r="K201" s="359" t="b">
        <f t="shared" si="5"/>
        <v>1</v>
      </c>
      <c r="L201" s="359">
        <v>0</v>
      </c>
      <c r="M201" s="360">
        <v>2016</v>
      </c>
      <c r="N201" s="361">
        <v>0</v>
      </c>
      <c r="O201" s="362">
        <v>42642</v>
      </c>
      <c r="P201" s="362">
        <v>42642</v>
      </c>
    </row>
    <row r="202" spans="1:16" ht="14.25">
      <c r="A202" s="356">
        <v>2016</v>
      </c>
      <c r="B202" s="357" t="s">
        <v>476</v>
      </c>
      <c r="C202" s="357" t="s">
        <v>477</v>
      </c>
      <c r="D202" s="358">
        <v>1021011</v>
      </c>
      <c r="E202" s="358">
        <v>1</v>
      </c>
      <c r="F202" s="358"/>
      <c r="G202" s="358">
        <v>650</v>
      </c>
      <c r="H202" s="358">
        <v>11.6</v>
      </c>
      <c r="I202" s="358"/>
      <c r="J202" s="358" t="s">
        <v>170</v>
      </c>
      <c r="K202" s="359" t="b">
        <f t="shared" si="5"/>
        <v>1</v>
      </c>
      <c r="L202" s="359">
        <v>8</v>
      </c>
      <c r="M202" s="360">
        <v>2024</v>
      </c>
      <c r="N202" s="361">
        <v>0</v>
      </c>
      <c r="O202" s="362">
        <v>42642</v>
      </c>
      <c r="P202" s="362">
        <v>42642</v>
      </c>
    </row>
    <row r="203" spans="1:16" ht="14.25">
      <c r="A203" s="356">
        <v>2016</v>
      </c>
      <c r="B203" s="357" t="s">
        <v>476</v>
      </c>
      <c r="C203" s="357" t="s">
        <v>477</v>
      </c>
      <c r="D203" s="358">
        <v>1021011</v>
      </c>
      <c r="E203" s="358">
        <v>1</v>
      </c>
      <c r="F203" s="358"/>
      <c r="G203" s="358">
        <v>650</v>
      </c>
      <c r="H203" s="358">
        <v>11.6</v>
      </c>
      <c r="I203" s="358"/>
      <c r="J203" s="358" t="s">
        <v>170</v>
      </c>
      <c r="K203" s="359" t="b">
        <f t="shared" si="5"/>
        <v>1</v>
      </c>
      <c r="L203" s="359">
        <v>0</v>
      </c>
      <c r="M203" s="360">
        <v>2016</v>
      </c>
      <c r="N203" s="361">
        <v>70000</v>
      </c>
      <c r="O203" s="362">
        <v>42642</v>
      </c>
      <c r="P203" s="362">
        <v>42642</v>
      </c>
    </row>
    <row r="204" spans="1:16" ht="14.25">
      <c r="A204" s="356">
        <v>2016</v>
      </c>
      <c r="B204" s="357" t="s">
        <v>476</v>
      </c>
      <c r="C204" s="357" t="s">
        <v>477</v>
      </c>
      <c r="D204" s="358">
        <v>1021011</v>
      </c>
      <c r="E204" s="358">
        <v>1</v>
      </c>
      <c r="F204" s="358"/>
      <c r="G204" s="358">
        <v>650</v>
      </c>
      <c r="H204" s="358">
        <v>11.6</v>
      </c>
      <c r="I204" s="358"/>
      <c r="J204" s="358" t="s">
        <v>170</v>
      </c>
      <c r="K204" s="359" t="b">
        <f t="shared" si="5"/>
        <v>1</v>
      </c>
      <c r="L204" s="359">
        <v>2</v>
      </c>
      <c r="M204" s="360">
        <v>2018</v>
      </c>
      <c r="N204" s="361">
        <v>0</v>
      </c>
      <c r="O204" s="362">
        <v>42642</v>
      </c>
      <c r="P204" s="362">
        <v>42642</v>
      </c>
    </row>
    <row r="205" spans="1:16" ht="14.25">
      <c r="A205" s="356">
        <v>2016</v>
      </c>
      <c r="B205" s="357" t="s">
        <v>476</v>
      </c>
      <c r="C205" s="357" t="s">
        <v>477</v>
      </c>
      <c r="D205" s="358">
        <v>1021011</v>
      </c>
      <c r="E205" s="358">
        <v>1</v>
      </c>
      <c r="F205" s="358"/>
      <c r="G205" s="358">
        <v>650</v>
      </c>
      <c r="H205" s="358">
        <v>11.6</v>
      </c>
      <c r="I205" s="358"/>
      <c r="J205" s="358" t="s">
        <v>170</v>
      </c>
      <c r="K205" s="359" t="b">
        <f t="shared" si="5"/>
        <v>1</v>
      </c>
      <c r="L205" s="359">
        <v>4</v>
      </c>
      <c r="M205" s="360">
        <v>2020</v>
      </c>
      <c r="N205" s="361">
        <v>0</v>
      </c>
      <c r="O205" s="362">
        <v>42642</v>
      </c>
      <c r="P205" s="362">
        <v>42642</v>
      </c>
    </row>
    <row r="206" spans="1:16" ht="14.25">
      <c r="A206" s="356">
        <v>2016</v>
      </c>
      <c r="B206" s="357" t="s">
        <v>476</v>
      </c>
      <c r="C206" s="357" t="s">
        <v>477</v>
      </c>
      <c r="D206" s="358">
        <v>1021011</v>
      </c>
      <c r="E206" s="358">
        <v>1</v>
      </c>
      <c r="F206" s="358"/>
      <c r="G206" s="358">
        <v>650</v>
      </c>
      <c r="H206" s="358">
        <v>11.6</v>
      </c>
      <c r="I206" s="358"/>
      <c r="J206" s="358" t="s">
        <v>170</v>
      </c>
      <c r="K206" s="359" t="b">
        <f t="shared" si="5"/>
        <v>1</v>
      </c>
      <c r="L206" s="359">
        <v>5</v>
      </c>
      <c r="M206" s="360">
        <v>2021</v>
      </c>
      <c r="N206" s="361">
        <v>0</v>
      </c>
      <c r="O206" s="362">
        <v>42642</v>
      </c>
      <c r="P206" s="362">
        <v>42642</v>
      </c>
    </row>
    <row r="207" spans="1:16" ht="14.25">
      <c r="A207" s="356">
        <v>2016</v>
      </c>
      <c r="B207" s="357" t="s">
        <v>476</v>
      </c>
      <c r="C207" s="357" t="s">
        <v>477</v>
      </c>
      <c r="D207" s="358">
        <v>1021011</v>
      </c>
      <c r="E207" s="358">
        <v>1</v>
      </c>
      <c r="F207" s="358"/>
      <c r="G207" s="358">
        <v>650</v>
      </c>
      <c r="H207" s="358">
        <v>11.6</v>
      </c>
      <c r="I207" s="358"/>
      <c r="J207" s="358" t="s">
        <v>170</v>
      </c>
      <c r="K207" s="359" t="b">
        <f t="shared" si="5"/>
        <v>1</v>
      </c>
      <c r="L207" s="359">
        <v>7</v>
      </c>
      <c r="M207" s="360">
        <v>2023</v>
      </c>
      <c r="N207" s="361">
        <v>0</v>
      </c>
      <c r="O207" s="362">
        <v>42642</v>
      </c>
      <c r="P207" s="362">
        <v>42642</v>
      </c>
    </row>
    <row r="208" spans="1:16" ht="14.25">
      <c r="A208" s="356">
        <v>2016</v>
      </c>
      <c r="B208" s="357" t="s">
        <v>476</v>
      </c>
      <c r="C208" s="357" t="s">
        <v>477</v>
      </c>
      <c r="D208" s="358">
        <v>1021011</v>
      </c>
      <c r="E208" s="358">
        <v>1</v>
      </c>
      <c r="F208" s="358"/>
      <c r="G208" s="358">
        <v>650</v>
      </c>
      <c r="H208" s="358">
        <v>11.6</v>
      </c>
      <c r="I208" s="358"/>
      <c r="J208" s="358" t="s">
        <v>170</v>
      </c>
      <c r="K208" s="359" t="b">
        <f t="shared" si="5"/>
        <v>1</v>
      </c>
      <c r="L208" s="359">
        <v>6</v>
      </c>
      <c r="M208" s="360">
        <v>2022</v>
      </c>
      <c r="N208" s="361">
        <v>0</v>
      </c>
      <c r="O208" s="362">
        <v>42642</v>
      </c>
      <c r="P208" s="362">
        <v>42642</v>
      </c>
    </row>
    <row r="209" spans="1:16" ht="14.25">
      <c r="A209" s="356">
        <v>2016</v>
      </c>
      <c r="B209" s="357" t="s">
        <v>476</v>
      </c>
      <c r="C209" s="357" t="s">
        <v>477</v>
      </c>
      <c r="D209" s="358">
        <v>1021011</v>
      </c>
      <c r="E209" s="358">
        <v>1</v>
      </c>
      <c r="F209" s="358"/>
      <c r="G209" s="358">
        <v>650</v>
      </c>
      <c r="H209" s="358">
        <v>11.6</v>
      </c>
      <c r="I209" s="358"/>
      <c r="J209" s="358" t="s">
        <v>170</v>
      </c>
      <c r="K209" s="359" t="b">
        <f t="shared" si="5"/>
        <v>1</v>
      </c>
      <c r="L209" s="359">
        <v>1</v>
      </c>
      <c r="M209" s="360">
        <v>2017</v>
      </c>
      <c r="N209" s="361">
        <v>0</v>
      </c>
      <c r="O209" s="362">
        <v>42642</v>
      </c>
      <c r="P209" s="362">
        <v>42642</v>
      </c>
    </row>
    <row r="210" spans="1:16" ht="14.25">
      <c r="A210" s="356">
        <v>2016</v>
      </c>
      <c r="B210" s="357" t="s">
        <v>476</v>
      </c>
      <c r="C210" s="357" t="s">
        <v>477</v>
      </c>
      <c r="D210" s="358">
        <v>1021011</v>
      </c>
      <c r="E210" s="358">
        <v>1</v>
      </c>
      <c r="F210" s="358"/>
      <c r="G210" s="358">
        <v>650</v>
      </c>
      <c r="H210" s="358">
        <v>11.6</v>
      </c>
      <c r="I210" s="358"/>
      <c r="J210" s="358" t="s">
        <v>170</v>
      </c>
      <c r="K210" s="359" t="b">
        <f t="shared" si="5"/>
        <v>1</v>
      </c>
      <c r="L210" s="359">
        <v>3</v>
      </c>
      <c r="M210" s="360">
        <v>2019</v>
      </c>
      <c r="N210" s="361">
        <v>0</v>
      </c>
      <c r="O210" s="362">
        <v>42642</v>
      </c>
      <c r="P210" s="362">
        <v>42642</v>
      </c>
    </row>
    <row r="211" spans="1:16" ht="14.25">
      <c r="A211" s="356">
        <v>2016</v>
      </c>
      <c r="B211" s="357" t="s">
        <v>476</v>
      </c>
      <c r="C211" s="357" t="s">
        <v>477</v>
      </c>
      <c r="D211" s="358">
        <v>1021011</v>
      </c>
      <c r="E211" s="358">
        <v>1</v>
      </c>
      <c r="F211" s="358"/>
      <c r="G211" s="358">
        <v>570</v>
      </c>
      <c r="H211" s="358">
        <v>11</v>
      </c>
      <c r="I211" s="358"/>
      <c r="J211" s="358" t="s">
        <v>147</v>
      </c>
      <c r="K211" s="359" t="b">
        <f aca="true" t="shared" si="6" ref="K211:K219">FALSE</f>
        <v>0</v>
      </c>
      <c r="L211" s="359">
        <v>6</v>
      </c>
      <c r="M211" s="360">
        <v>2022</v>
      </c>
      <c r="N211" s="361">
        <v>0</v>
      </c>
      <c r="O211" s="362">
        <v>42642</v>
      </c>
      <c r="P211" s="362">
        <v>42642</v>
      </c>
    </row>
    <row r="212" spans="1:16" ht="14.25">
      <c r="A212" s="356">
        <v>2016</v>
      </c>
      <c r="B212" s="357" t="s">
        <v>476</v>
      </c>
      <c r="C212" s="357" t="s">
        <v>477</v>
      </c>
      <c r="D212" s="358">
        <v>1021011</v>
      </c>
      <c r="E212" s="358">
        <v>1</v>
      </c>
      <c r="F212" s="358"/>
      <c r="G212" s="358">
        <v>570</v>
      </c>
      <c r="H212" s="358">
        <v>11</v>
      </c>
      <c r="I212" s="358"/>
      <c r="J212" s="358" t="s">
        <v>147</v>
      </c>
      <c r="K212" s="359" t="b">
        <f t="shared" si="6"/>
        <v>0</v>
      </c>
      <c r="L212" s="359">
        <v>3</v>
      </c>
      <c r="M212" s="360">
        <v>2019</v>
      </c>
      <c r="N212" s="361">
        <v>0</v>
      </c>
      <c r="O212" s="362">
        <v>42642</v>
      </c>
      <c r="P212" s="362">
        <v>42642</v>
      </c>
    </row>
    <row r="213" spans="1:16" ht="14.25">
      <c r="A213" s="356">
        <v>2016</v>
      </c>
      <c r="B213" s="357" t="s">
        <v>476</v>
      </c>
      <c r="C213" s="357" t="s">
        <v>477</v>
      </c>
      <c r="D213" s="358">
        <v>1021011</v>
      </c>
      <c r="E213" s="358">
        <v>1</v>
      </c>
      <c r="F213" s="358"/>
      <c r="G213" s="358">
        <v>570</v>
      </c>
      <c r="H213" s="358">
        <v>11</v>
      </c>
      <c r="I213" s="358"/>
      <c r="J213" s="358" t="s">
        <v>147</v>
      </c>
      <c r="K213" s="359" t="b">
        <f t="shared" si="6"/>
        <v>0</v>
      </c>
      <c r="L213" s="359">
        <v>2</v>
      </c>
      <c r="M213" s="360">
        <v>2018</v>
      </c>
      <c r="N213" s="361">
        <v>0</v>
      </c>
      <c r="O213" s="362">
        <v>42642</v>
      </c>
      <c r="P213" s="362">
        <v>42642</v>
      </c>
    </row>
    <row r="214" spans="1:16" ht="14.25">
      <c r="A214" s="356">
        <v>2016</v>
      </c>
      <c r="B214" s="357" t="s">
        <v>476</v>
      </c>
      <c r="C214" s="357" t="s">
        <v>477</v>
      </c>
      <c r="D214" s="358">
        <v>1021011</v>
      </c>
      <c r="E214" s="358">
        <v>1</v>
      </c>
      <c r="F214" s="358"/>
      <c r="G214" s="358">
        <v>570</v>
      </c>
      <c r="H214" s="358">
        <v>11</v>
      </c>
      <c r="I214" s="358"/>
      <c r="J214" s="358" t="s">
        <v>147</v>
      </c>
      <c r="K214" s="359" t="b">
        <f t="shared" si="6"/>
        <v>0</v>
      </c>
      <c r="L214" s="359">
        <v>8</v>
      </c>
      <c r="M214" s="360">
        <v>2024</v>
      </c>
      <c r="N214" s="361">
        <v>0</v>
      </c>
      <c r="O214" s="362">
        <v>42642</v>
      </c>
      <c r="P214" s="362">
        <v>42642</v>
      </c>
    </row>
    <row r="215" spans="1:16" ht="14.25">
      <c r="A215" s="356">
        <v>2016</v>
      </c>
      <c r="B215" s="357" t="s">
        <v>476</v>
      </c>
      <c r="C215" s="357" t="s">
        <v>477</v>
      </c>
      <c r="D215" s="358">
        <v>1021011</v>
      </c>
      <c r="E215" s="358">
        <v>1</v>
      </c>
      <c r="F215" s="358"/>
      <c r="G215" s="358">
        <v>570</v>
      </c>
      <c r="H215" s="358">
        <v>11</v>
      </c>
      <c r="I215" s="358"/>
      <c r="J215" s="358" t="s">
        <v>147</v>
      </c>
      <c r="K215" s="359" t="b">
        <f t="shared" si="6"/>
        <v>0</v>
      </c>
      <c r="L215" s="359">
        <v>7</v>
      </c>
      <c r="M215" s="360">
        <v>2023</v>
      </c>
      <c r="N215" s="361">
        <v>0</v>
      </c>
      <c r="O215" s="362">
        <v>42642</v>
      </c>
      <c r="P215" s="362">
        <v>42642</v>
      </c>
    </row>
    <row r="216" spans="1:16" ht="14.25">
      <c r="A216" s="356">
        <v>2016</v>
      </c>
      <c r="B216" s="357" t="s">
        <v>476</v>
      </c>
      <c r="C216" s="357" t="s">
        <v>477</v>
      </c>
      <c r="D216" s="358">
        <v>1021011</v>
      </c>
      <c r="E216" s="358">
        <v>1</v>
      </c>
      <c r="F216" s="358"/>
      <c r="G216" s="358">
        <v>570</v>
      </c>
      <c r="H216" s="358">
        <v>11</v>
      </c>
      <c r="I216" s="358"/>
      <c r="J216" s="358" t="s">
        <v>147</v>
      </c>
      <c r="K216" s="359" t="b">
        <f t="shared" si="6"/>
        <v>0</v>
      </c>
      <c r="L216" s="359">
        <v>1</v>
      </c>
      <c r="M216" s="360">
        <v>2017</v>
      </c>
      <c r="N216" s="361">
        <v>0</v>
      </c>
      <c r="O216" s="362">
        <v>42642</v>
      </c>
      <c r="P216" s="362">
        <v>42642</v>
      </c>
    </row>
    <row r="217" spans="1:16" ht="14.25">
      <c r="A217" s="356">
        <v>2016</v>
      </c>
      <c r="B217" s="357" t="s">
        <v>476</v>
      </c>
      <c r="C217" s="357" t="s">
        <v>477</v>
      </c>
      <c r="D217" s="358">
        <v>1021011</v>
      </c>
      <c r="E217" s="358">
        <v>1</v>
      </c>
      <c r="F217" s="358"/>
      <c r="G217" s="358">
        <v>570</v>
      </c>
      <c r="H217" s="358">
        <v>11</v>
      </c>
      <c r="I217" s="358"/>
      <c r="J217" s="358" t="s">
        <v>147</v>
      </c>
      <c r="K217" s="359" t="b">
        <f t="shared" si="6"/>
        <v>0</v>
      </c>
      <c r="L217" s="359">
        <v>5</v>
      </c>
      <c r="M217" s="360">
        <v>2021</v>
      </c>
      <c r="N217" s="361">
        <v>0</v>
      </c>
      <c r="O217" s="362">
        <v>42642</v>
      </c>
      <c r="P217" s="362">
        <v>42642</v>
      </c>
    </row>
    <row r="218" spans="1:16" ht="14.25">
      <c r="A218" s="356">
        <v>2016</v>
      </c>
      <c r="B218" s="357" t="s">
        <v>476</v>
      </c>
      <c r="C218" s="357" t="s">
        <v>477</v>
      </c>
      <c r="D218" s="358">
        <v>1021011</v>
      </c>
      <c r="E218" s="358">
        <v>1</v>
      </c>
      <c r="F218" s="358"/>
      <c r="G218" s="358">
        <v>570</v>
      </c>
      <c r="H218" s="358">
        <v>11</v>
      </c>
      <c r="I218" s="358"/>
      <c r="J218" s="358" t="s">
        <v>147</v>
      </c>
      <c r="K218" s="359" t="b">
        <f t="shared" si="6"/>
        <v>0</v>
      </c>
      <c r="L218" s="359">
        <v>4</v>
      </c>
      <c r="M218" s="360">
        <v>2020</v>
      </c>
      <c r="N218" s="361">
        <v>0</v>
      </c>
      <c r="O218" s="362">
        <v>42642</v>
      </c>
      <c r="P218" s="362">
        <v>42642</v>
      </c>
    </row>
    <row r="219" spans="1:16" ht="14.25">
      <c r="A219" s="356">
        <v>2016</v>
      </c>
      <c r="B219" s="357" t="s">
        <v>476</v>
      </c>
      <c r="C219" s="357" t="s">
        <v>477</v>
      </c>
      <c r="D219" s="358">
        <v>1021011</v>
      </c>
      <c r="E219" s="358">
        <v>1</v>
      </c>
      <c r="F219" s="358"/>
      <c r="G219" s="358">
        <v>570</v>
      </c>
      <c r="H219" s="358">
        <v>11</v>
      </c>
      <c r="I219" s="358"/>
      <c r="J219" s="358" t="s">
        <v>147</v>
      </c>
      <c r="K219" s="359" t="b">
        <f t="shared" si="6"/>
        <v>0</v>
      </c>
      <c r="L219" s="359">
        <v>0</v>
      </c>
      <c r="M219" s="360">
        <v>2016</v>
      </c>
      <c r="N219" s="361">
        <v>0</v>
      </c>
      <c r="O219" s="362">
        <v>42642</v>
      </c>
      <c r="P219" s="362">
        <v>42642</v>
      </c>
    </row>
    <row r="220" spans="1:16" ht="14.25">
      <c r="A220" s="356">
        <v>2016</v>
      </c>
      <c r="B220" s="357" t="s">
        <v>476</v>
      </c>
      <c r="C220" s="357" t="s">
        <v>477</v>
      </c>
      <c r="D220" s="358">
        <v>1021011</v>
      </c>
      <c r="E220" s="358">
        <v>1</v>
      </c>
      <c r="F220" s="358"/>
      <c r="G220" s="358">
        <v>960</v>
      </c>
      <c r="H220" s="358">
        <v>15.1</v>
      </c>
      <c r="I220" s="358"/>
      <c r="J220" s="358" t="s">
        <v>272</v>
      </c>
      <c r="K220" s="359" t="b">
        <f aca="true" t="shared" si="7" ref="K220:K228">TRUE</f>
        <v>1</v>
      </c>
      <c r="L220" s="359">
        <v>5</v>
      </c>
      <c r="M220" s="360">
        <v>2021</v>
      </c>
      <c r="N220" s="361">
        <v>0</v>
      </c>
      <c r="O220" s="362">
        <v>42642</v>
      </c>
      <c r="P220" s="362">
        <v>42642</v>
      </c>
    </row>
    <row r="221" spans="1:16" ht="14.25">
      <c r="A221" s="356">
        <v>2016</v>
      </c>
      <c r="B221" s="357" t="s">
        <v>476</v>
      </c>
      <c r="C221" s="357" t="s">
        <v>477</v>
      </c>
      <c r="D221" s="358">
        <v>1021011</v>
      </c>
      <c r="E221" s="358">
        <v>1</v>
      </c>
      <c r="F221" s="358"/>
      <c r="G221" s="358">
        <v>960</v>
      </c>
      <c r="H221" s="358">
        <v>15.1</v>
      </c>
      <c r="I221" s="358"/>
      <c r="J221" s="358" t="s">
        <v>272</v>
      </c>
      <c r="K221" s="359" t="b">
        <f t="shared" si="7"/>
        <v>1</v>
      </c>
      <c r="L221" s="359">
        <v>0</v>
      </c>
      <c r="M221" s="360">
        <v>2016</v>
      </c>
      <c r="N221" s="361">
        <v>0</v>
      </c>
      <c r="O221" s="362">
        <v>42642</v>
      </c>
      <c r="P221" s="362">
        <v>42642</v>
      </c>
    </row>
    <row r="222" spans="1:16" ht="14.25">
      <c r="A222" s="356">
        <v>2016</v>
      </c>
      <c r="B222" s="357" t="s">
        <v>476</v>
      </c>
      <c r="C222" s="357" t="s">
        <v>477</v>
      </c>
      <c r="D222" s="358">
        <v>1021011</v>
      </c>
      <c r="E222" s="358">
        <v>1</v>
      </c>
      <c r="F222" s="358"/>
      <c r="G222" s="358">
        <v>960</v>
      </c>
      <c r="H222" s="358">
        <v>15.1</v>
      </c>
      <c r="I222" s="358"/>
      <c r="J222" s="358" t="s">
        <v>272</v>
      </c>
      <c r="K222" s="359" t="b">
        <f t="shared" si="7"/>
        <v>1</v>
      </c>
      <c r="L222" s="359">
        <v>8</v>
      </c>
      <c r="M222" s="360">
        <v>2024</v>
      </c>
      <c r="N222" s="361">
        <v>0</v>
      </c>
      <c r="O222" s="362">
        <v>42642</v>
      </c>
      <c r="P222" s="362">
        <v>42642</v>
      </c>
    </row>
    <row r="223" spans="1:16" ht="14.25">
      <c r="A223" s="356">
        <v>2016</v>
      </c>
      <c r="B223" s="357" t="s">
        <v>476</v>
      </c>
      <c r="C223" s="357" t="s">
        <v>477</v>
      </c>
      <c r="D223" s="358">
        <v>1021011</v>
      </c>
      <c r="E223" s="358">
        <v>1</v>
      </c>
      <c r="F223" s="358"/>
      <c r="G223" s="358">
        <v>960</v>
      </c>
      <c r="H223" s="358">
        <v>15.1</v>
      </c>
      <c r="I223" s="358"/>
      <c r="J223" s="358" t="s">
        <v>272</v>
      </c>
      <c r="K223" s="359" t="b">
        <f t="shared" si="7"/>
        <v>1</v>
      </c>
      <c r="L223" s="359">
        <v>2</v>
      </c>
      <c r="M223" s="360">
        <v>2018</v>
      </c>
      <c r="N223" s="361">
        <v>0</v>
      </c>
      <c r="O223" s="362">
        <v>42642</v>
      </c>
      <c r="P223" s="362">
        <v>42642</v>
      </c>
    </row>
    <row r="224" spans="1:16" ht="14.25">
      <c r="A224" s="356">
        <v>2016</v>
      </c>
      <c r="B224" s="357" t="s">
        <v>476</v>
      </c>
      <c r="C224" s="357" t="s">
        <v>477</v>
      </c>
      <c r="D224" s="358">
        <v>1021011</v>
      </c>
      <c r="E224" s="358">
        <v>1</v>
      </c>
      <c r="F224" s="358"/>
      <c r="G224" s="358">
        <v>960</v>
      </c>
      <c r="H224" s="358">
        <v>15.1</v>
      </c>
      <c r="I224" s="358"/>
      <c r="J224" s="358" t="s">
        <v>272</v>
      </c>
      <c r="K224" s="359" t="b">
        <f t="shared" si="7"/>
        <v>1</v>
      </c>
      <c r="L224" s="359">
        <v>7</v>
      </c>
      <c r="M224" s="360">
        <v>2023</v>
      </c>
      <c r="N224" s="361">
        <v>0</v>
      </c>
      <c r="O224" s="362">
        <v>42642</v>
      </c>
      <c r="P224" s="362">
        <v>42642</v>
      </c>
    </row>
    <row r="225" spans="1:16" ht="14.25">
      <c r="A225" s="356">
        <v>2016</v>
      </c>
      <c r="B225" s="357" t="s">
        <v>476</v>
      </c>
      <c r="C225" s="357" t="s">
        <v>477</v>
      </c>
      <c r="D225" s="358">
        <v>1021011</v>
      </c>
      <c r="E225" s="358">
        <v>1</v>
      </c>
      <c r="F225" s="358"/>
      <c r="G225" s="358">
        <v>960</v>
      </c>
      <c r="H225" s="358">
        <v>15.1</v>
      </c>
      <c r="I225" s="358"/>
      <c r="J225" s="358" t="s">
        <v>272</v>
      </c>
      <c r="K225" s="359" t="b">
        <f t="shared" si="7"/>
        <v>1</v>
      </c>
      <c r="L225" s="359">
        <v>6</v>
      </c>
      <c r="M225" s="360">
        <v>2022</v>
      </c>
      <c r="N225" s="361">
        <v>0</v>
      </c>
      <c r="O225" s="362">
        <v>42642</v>
      </c>
      <c r="P225" s="362">
        <v>42642</v>
      </c>
    </row>
    <row r="226" spans="1:16" ht="14.25">
      <c r="A226" s="356">
        <v>2016</v>
      </c>
      <c r="B226" s="357" t="s">
        <v>476</v>
      </c>
      <c r="C226" s="357" t="s">
        <v>477</v>
      </c>
      <c r="D226" s="358">
        <v>1021011</v>
      </c>
      <c r="E226" s="358">
        <v>1</v>
      </c>
      <c r="F226" s="358"/>
      <c r="G226" s="358">
        <v>960</v>
      </c>
      <c r="H226" s="358">
        <v>15.1</v>
      </c>
      <c r="I226" s="358"/>
      <c r="J226" s="358" t="s">
        <v>272</v>
      </c>
      <c r="K226" s="359" t="b">
        <f t="shared" si="7"/>
        <v>1</v>
      </c>
      <c r="L226" s="359">
        <v>1</v>
      </c>
      <c r="M226" s="360">
        <v>2017</v>
      </c>
      <c r="N226" s="361">
        <v>0</v>
      </c>
      <c r="O226" s="362">
        <v>42642</v>
      </c>
      <c r="P226" s="362">
        <v>42642</v>
      </c>
    </row>
    <row r="227" spans="1:16" ht="14.25">
      <c r="A227" s="356">
        <v>2016</v>
      </c>
      <c r="B227" s="357" t="s">
        <v>476</v>
      </c>
      <c r="C227" s="357" t="s">
        <v>477</v>
      </c>
      <c r="D227" s="358">
        <v>1021011</v>
      </c>
      <c r="E227" s="358">
        <v>1</v>
      </c>
      <c r="F227" s="358"/>
      <c r="G227" s="358">
        <v>960</v>
      </c>
      <c r="H227" s="358">
        <v>15.1</v>
      </c>
      <c r="I227" s="358"/>
      <c r="J227" s="358" t="s">
        <v>272</v>
      </c>
      <c r="K227" s="359" t="b">
        <f t="shared" si="7"/>
        <v>1</v>
      </c>
      <c r="L227" s="359">
        <v>4</v>
      </c>
      <c r="M227" s="360">
        <v>2020</v>
      </c>
      <c r="N227" s="361">
        <v>0</v>
      </c>
      <c r="O227" s="362">
        <v>42642</v>
      </c>
      <c r="P227" s="362">
        <v>42642</v>
      </c>
    </row>
    <row r="228" spans="1:16" ht="14.25">
      <c r="A228" s="356">
        <v>2016</v>
      </c>
      <c r="B228" s="357" t="s">
        <v>476</v>
      </c>
      <c r="C228" s="357" t="s">
        <v>477</v>
      </c>
      <c r="D228" s="358">
        <v>1021011</v>
      </c>
      <c r="E228" s="358">
        <v>1</v>
      </c>
      <c r="F228" s="358"/>
      <c r="G228" s="358">
        <v>960</v>
      </c>
      <c r="H228" s="358">
        <v>15.1</v>
      </c>
      <c r="I228" s="358"/>
      <c r="J228" s="358" t="s">
        <v>272</v>
      </c>
      <c r="K228" s="359" t="b">
        <f t="shared" si="7"/>
        <v>1</v>
      </c>
      <c r="L228" s="359">
        <v>3</v>
      </c>
      <c r="M228" s="360">
        <v>2019</v>
      </c>
      <c r="N228" s="361">
        <v>0</v>
      </c>
      <c r="O228" s="362">
        <v>42642</v>
      </c>
      <c r="P228" s="362">
        <v>42642</v>
      </c>
    </row>
    <row r="229" spans="1:16" ht="14.25">
      <c r="A229" s="356">
        <v>2016</v>
      </c>
      <c r="B229" s="357" t="s">
        <v>476</v>
      </c>
      <c r="C229" s="357" t="s">
        <v>477</v>
      </c>
      <c r="D229" s="358">
        <v>1021011</v>
      </c>
      <c r="E229" s="358">
        <v>1</v>
      </c>
      <c r="F229" s="358"/>
      <c r="G229" s="358">
        <v>230</v>
      </c>
      <c r="H229" s="358" t="s">
        <v>73</v>
      </c>
      <c r="I229" s="358"/>
      <c r="J229" s="358" t="s">
        <v>74</v>
      </c>
      <c r="K229" s="359" t="b">
        <f aca="true" t="shared" si="8" ref="K229:K237">FALSE</f>
        <v>0</v>
      </c>
      <c r="L229" s="359">
        <v>7</v>
      </c>
      <c r="M229" s="360">
        <v>2023</v>
      </c>
      <c r="N229" s="361">
        <v>0</v>
      </c>
      <c r="O229" s="362">
        <v>42642</v>
      </c>
      <c r="P229" s="362">
        <v>42642</v>
      </c>
    </row>
    <row r="230" spans="1:16" ht="14.25">
      <c r="A230" s="356">
        <v>2016</v>
      </c>
      <c r="B230" s="357" t="s">
        <v>476</v>
      </c>
      <c r="C230" s="357" t="s">
        <v>477</v>
      </c>
      <c r="D230" s="358">
        <v>1021011</v>
      </c>
      <c r="E230" s="358">
        <v>1</v>
      </c>
      <c r="F230" s="358"/>
      <c r="G230" s="358">
        <v>230</v>
      </c>
      <c r="H230" s="358" t="s">
        <v>73</v>
      </c>
      <c r="I230" s="358"/>
      <c r="J230" s="358" t="s">
        <v>74</v>
      </c>
      <c r="K230" s="359" t="b">
        <f t="shared" si="8"/>
        <v>0</v>
      </c>
      <c r="L230" s="359">
        <v>2</v>
      </c>
      <c r="M230" s="360">
        <v>2018</v>
      </c>
      <c r="N230" s="361">
        <v>0</v>
      </c>
      <c r="O230" s="362">
        <v>42642</v>
      </c>
      <c r="P230" s="362">
        <v>42642</v>
      </c>
    </row>
    <row r="231" spans="1:16" ht="14.25">
      <c r="A231" s="356">
        <v>2016</v>
      </c>
      <c r="B231" s="357" t="s">
        <v>476</v>
      </c>
      <c r="C231" s="357" t="s">
        <v>477</v>
      </c>
      <c r="D231" s="358">
        <v>1021011</v>
      </c>
      <c r="E231" s="358">
        <v>1</v>
      </c>
      <c r="F231" s="358"/>
      <c r="G231" s="358">
        <v>230</v>
      </c>
      <c r="H231" s="358" t="s">
        <v>73</v>
      </c>
      <c r="I231" s="358"/>
      <c r="J231" s="358" t="s">
        <v>74</v>
      </c>
      <c r="K231" s="359" t="b">
        <f t="shared" si="8"/>
        <v>0</v>
      </c>
      <c r="L231" s="359">
        <v>6</v>
      </c>
      <c r="M231" s="360">
        <v>2022</v>
      </c>
      <c r="N231" s="361">
        <v>0</v>
      </c>
      <c r="O231" s="362">
        <v>42642</v>
      </c>
      <c r="P231" s="362">
        <v>42642</v>
      </c>
    </row>
    <row r="232" spans="1:16" ht="14.25">
      <c r="A232" s="356">
        <v>2016</v>
      </c>
      <c r="B232" s="357" t="s">
        <v>476</v>
      </c>
      <c r="C232" s="357" t="s">
        <v>477</v>
      </c>
      <c r="D232" s="358">
        <v>1021011</v>
      </c>
      <c r="E232" s="358">
        <v>1</v>
      </c>
      <c r="F232" s="358"/>
      <c r="G232" s="358">
        <v>230</v>
      </c>
      <c r="H232" s="358" t="s">
        <v>73</v>
      </c>
      <c r="I232" s="358"/>
      <c r="J232" s="358" t="s">
        <v>74</v>
      </c>
      <c r="K232" s="359" t="b">
        <f t="shared" si="8"/>
        <v>0</v>
      </c>
      <c r="L232" s="359">
        <v>3</v>
      </c>
      <c r="M232" s="360">
        <v>2019</v>
      </c>
      <c r="N232" s="361">
        <v>0</v>
      </c>
      <c r="O232" s="362">
        <v>42642</v>
      </c>
      <c r="P232" s="362">
        <v>42642</v>
      </c>
    </row>
    <row r="233" spans="1:16" ht="14.25">
      <c r="A233" s="356">
        <v>2016</v>
      </c>
      <c r="B233" s="357" t="s">
        <v>476</v>
      </c>
      <c r="C233" s="357" t="s">
        <v>477</v>
      </c>
      <c r="D233" s="358">
        <v>1021011</v>
      </c>
      <c r="E233" s="358">
        <v>1</v>
      </c>
      <c r="F233" s="358"/>
      <c r="G233" s="358">
        <v>230</v>
      </c>
      <c r="H233" s="358" t="s">
        <v>73</v>
      </c>
      <c r="I233" s="358"/>
      <c r="J233" s="358" t="s">
        <v>74</v>
      </c>
      <c r="K233" s="359" t="b">
        <f t="shared" si="8"/>
        <v>0</v>
      </c>
      <c r="L233" s="359">
        <v>8</v>
      </c>
      <c r="M233" s="360">
        <v>2024</v>
      </c>
      <c r="N233" s="361">
        <v>0</v>
      </c>
      <c r="O233" s="362">
        <v>42642</v>
      </c>
      <c r="P233" s="362">
        <v>42642</v>
      </c>
    </row>
    <row r="234" spans="1:16" ht="14.25">
      <c r="A234" s="356">
        <v>2016</v>
      </c>
      <c r="B234" s="357" t="s">
        <v>476</v>
      </c>
      <c r="C234" s="357" t="s">
        <v>477</v>
      </c>
      <c r="D234" s="358">
        <v>1021011</v>
      </c>
      <c r="E234" s="358">
        <v>1</v>
      </c>
      <c r="F234" s="358"/>
      <c r="G234" s="358">
        <v>230</v>
      </c>
      <c r="H234" s="358" t="s">
        <v>73</v>
      </c>
      <c r="I234" s="358"/>
      <c r="J234" s="358" t="s">
        <v>74</v>
      </c>
      <c r="K234" s="359" t="b">
        <f t="shared" si="8"/>
        <v>0</v>
      </c>
      <c r="L234" s="359">
        <v>4</v>
      </c>
      <c r="M234" s="360">
        <v>2020</v>
      </c>
      <c r="N234" s="361">
        <v>0</v>
      </c>
      <c r="O234" s="362">
        <v>42642</v>
      </c>
      <c r="P234" s="362">
        <v>42642</v>
      </c>
    </row>
    <row r="235" spans="1:16" ht="14.25">
      <c r="A235" s="356">
        <v>2016</v>
      </c>
      <c r="B235" s="357" t="s">
        <v>476</v>
      </c>
      <c r="C235" s="357" t="s">
        <v>477</v>
      </c>
      <c r="D235" s="358">
        <v>1021011</v>
      </c>
      <c r="E235" s="358">
        <v>1</v>
      </c>
      <c r="F235" s="358"/>
      <c r="G235" s="358">
        <v>230</v>
      </c>
      <c r="H235" s="358" t="s">
        <v>73</v>
      </c>
      <c r="I235" s="358"/>
      <c r="J235" s="358" t="s">
        <v>74</v>
      </c>
      <c r="K235" s="359" t="b">
        <f t="shared" si="8"/>
        <v>0</v>
      </c>
      <c r="L235" s="359">
        <v>5</v>
      </c>
      <c r="M235" s="360">
        <v>2021</v>
      </c>
      <c r="N235" s="361">
        <v>0</v>
      </c>
      <c r="O235" s="362">
        <v>42642</v>
      </c>
      <c r="P235" s="362">
        <v>42642</v>
      </c>
    </row>
    <row r="236" spans="1:16" ht="14.25">
      <c r="A236" s="356">
        <v>2016</v>
      </c>
      <c r="B236" s="357" t="s">
        <v>476</v>
      </c>
      <c r="C236" s="357" t="s">
        <v>477</v>
      </c>
      <c r="D236" s="358">
        <v>1021011</v>
      </c>
      <c r="E236" s="358">
        <v>1</v>
      </c>
      <c r="F236" s="358"/>
      <c r="G236" s="358">
        <v>230</v>
      </c>
      <c r="H236" s="358" t="s">
        <v>73</v>
      </c>
      <c r="I236" s="358"/>
      <c r="J236" s="358" t="s">
        <v>74</v>
      </c>
      <c r="K236" s="359" t="b">
        <f t="shared" si="8"/>
        <v>0</v>
      </c>
      <c r="L236" s="359">
        <v>0</v>
      </c>
      <c r="M236" s="360">
        <v>2016</v>
      </c>
      <c r="N236" s="361">
        <v>0</v>
      </c>
      <c r="O236" s="362">
        <v>42642</v>
      </c>
      <c r="P236" s="362">
        <v>42642</v>
      </c>
    </row>
    <row r="237" spans="1:16" ht="14.25">
      <c r="A237" s="356">
        <v>2016</v>
      </c>
      <c r="B237" s="357" t="s">
        <v>476</v>
      </c>
      <c r="C237" s="357" t="s">
        <v>477</v>
      </c>
      <c r="D237" s="358">
        <v>1021011</v>
      </c>
      <c r="E237" s="358">
        <v>1</v>
      </c>
      <c r="F237" s="358"/>
      <c r="G237" s="358">
        <v>230</v>
      </c>
      <c r="H237" s="358" t="s">
        <v>73</v>
      </c>
      <c r="I237" s="358"/>
      <c r="J237" s="358" t="s">
        <v>74</v>
      </c>
      <c r="K237" s="359" t="b">
        <f t="shared" si="8"/>
        <v>0</v>
      </c>
      <c r="L237" s="359">
        <v>1</v>
      </c>
      <c r="M237" s="360">
        <v>2017</v>
      </c>
      <c r="N237" s="361">
        <v>0</v>
      </c>
      <c r="O237" s="362">
        <v>42642</v>
      </c>
      <c r="P237" s="362">
        <v>42642</v>
      </c>
    </row>
    <row r="238" spans="1:16" ht="14.25">
      <c r="A238" s="356">
        <v>2016</v>
      </c>
      <c r="B238" s="357" t="s">
        <v>476</v>
      </c>
      <c r="C238" s="357" t="s">
        <v>477</v>
      </c>
      <c r="D238" s="358">
        <v>1021011</v>
      </c>
      <c r="E238" s="358">
        <v>1</v>
      </c>
      <c r="F238" s="358"/>
      <c r="G238" s="358">
        <v>940</v>
      </c>
      <c r="H238" s="358">
        <v>14.4</v>
      </c>
      <c r="I238" s="358"/>
      <c r="J238" s="358" t="s">
        <v>268</v>
      </c>
      <c r="K238" s="359" t="b">
        <f aca="true" t="shared" si="9" ref="K238:K246">TRUE</f>
        <v>1</v>
      </c>
      <c r="L238" s="359">
        <v>0</v>
      </c>
      <c r="M238" s="360">
        <v>2016</v>
      </c>
      <c r="N238" s="361">
        <v>0</v>
      </c>
      <c r="O238" s="362">
        <v>42642</v>
      </c>
      <c r="P238" s="362">
        <v>42642</v>
      </c>
    </row>
    <row r="239" spans="1:16" ht="14.25">
      <c r="A239" s="356">
        <v>2016</v>
      </c>
      <c r="B239" s="357" t="s">
        <v>476</v>
      </c>
      <c r="C239" s="357" t="s">
        <v>477</v>
      </c>
      <c r="D239" s="358">
        <v>1021011</v>
      </c>
      <c r="E239" s="358">
        <v>1</v>
      </c>
      <c r="F239" s="358"/>
      <c r="G239" s="358">
        <v>940</v>
      </c>
      <c r="H239" s="358">
        <v>14.4</v>
      </c>
      <c r="I239" s="358"/>
      <c r="J239" s="358" t="s">
        <v>268</v>
      </c>
      <c r="K239" s="359" t="b">
        <f t="shared" si="9"/>
        <v>1</v>
      </c>
      <c r="L239" s="359">
        <v>7</v>
      </c>
      <c r="M239" s="360">
        <v>2023</v>
      </c>
      <c r="N239" s="361">
        <v>0</v>
      </c>
      <c r="O239" s="362">
        <v>42642</v>
      </c>
      <c r="P239" s="362">
        <v>42642</v>
      </c>
    </row>
    <row r="240" spans="1:16" ht="14.25">
      <c r="A240" s="356">
        <v>2016</v>
      </c>
      <c r="B240" s="357" t="s">
        <v>476</v>
      </c>
      <c r="C240" s="357" t="s">
        <v>477</v>
      </c>
      <c r="D240" s="358">
        <v>1021011</v>
      </c>
      <c r="E240" s="358">
        <v>1</v>
      </c>
      <c r="F240" s="358"/>
      <c r="G240" s="358">
        <v>940</v>
      </c>
      <c r="H240" s="358">
        <v>14.4</v>
      </c>
      <c r="I240" s="358"/>
      <c r="J240" s="358" t="s">
        <v>268</v>
      </c>
      <c r="K240" s="359" t="b">
        <f t="shared" si="9"/>
        <v>1</v>
      </c>
      <c r="L240" s="359">
        <v>1</v>
      </c>
      <c r="M240" s="360">
        <v>2017</v>
      </c>
      <c r="N240" s="361">
        <v>0</v>
      </c>
      <c r="O240" s="362">
        <v>42642</v>
      </c>
      <c r="P240" s="362">
        <v>42642</v>
      </c>
    </row>
    <row r="241" spans="1:16" ht="14.25">
      <c r="A241" s="356">
        <v>2016</v>
      </c>
      <c r="B241" s="357" t="s">
        <v>476</v>
      </c>
      <c r="C241" s="357" t="s">
        <v>477</v>
      </c>
      <c r="D241" s="358">
        <v>1021011</v>
      </c>
      <c r="E241" s="358">
        <v>1</v>
      </c>
      <c r="F241" s="358"/>
      <c r="G241" s="358">
        <v>940</v>
      </c>
      <c r="H241" s="358">
        <v>14.4</v>
      </c>
      <c r="I241" s="358"/>
      <c r="J241" s="358" t="s">
        <v>268</v>
      </c>
      <c r="K241" s="359" t="b">
        <f t="shared" si="9"/>
        <v>1</v>
      </c>
      <c r="L241" s="359">
        <v>4</v>
      </c>
      <c r="M241" s="360">
        <v>2020</v>
      </c>
      <c r="N241" s="361">
        <v>0</v>
      </c>
      <c r="O241" s="362">
        <v>42642</v>
      </c>
      <c r="P241" s="362">
        <v>42642</v>
      </c>
    </row>
    <row r="242" spans="1:16" ht="14.25">
      <c r="A242" s="356">
        <v>2016</v>
      </c>
      <c r="B242" s="357" t="s">
        <v>476</v>
      </c>
      <c r="C242" s="357" t="s">
        <v>477</v>
      </c>
      <c r="D242" s="358">
        <v>1021011</v>
      </c>
      <c r="E242" s="358">
        <v>1</v>
      </c>
      <c r="F242" s="358"/>
      <c r="G242" s="358">
        <v>940</v>
      </c>
      <c r="H242" s="358">
        <v>14.4</v>
      </c>
      <c r="I242" s="358"/>
      <c r="J242" s="358" t="s">
        <v>268</v>
      </c>
      <c r="K242" s="359" t="b">
        <f t="shared" si="9"/>
        <v>1</v>
      </c>
      <c r="L242" s="359">
        <v>8</v>
      </c>
      <c r="M242" s="360">
        <v>2024</v>
      </c>
      <c r="N242" s="361">
        <v>0</v>
      </c>
      <c r="O242" s="362">
        <v>42642</v>
      </c>
      <c r="P242" s="362">
        <v>42642</v>
      </c>
    </row>
    <row r="243" spans="1:16" ht="14.25">
      <c r="A243" s="356">
        <v>2016</v>
      </c>
      <c r="B243" s="357" t="s">
        <v>476</v>
      </c>
      <c r="C243" s="357" t="s">
        <v>477</v>
      </c>
      <c r="D243" s="358">
        <v>1021011</v>
      </c>
      <c r="E243" s="358">
        <v>1</v>
      </c>
      <c r="F243" s="358"/>
      <c r="G243" s="358">
        <v>940</v>
      </c>
      <c r="H243" s="358">
        <v>14.4</v>
      </c>
      <c r="I243" s="358"/>
      <c r="J243" s="358" t="s">
        <v>268</v>
      </c>
      <c r="K243" s="359" t="b">
        <f t="shared" si="9"/>
        <v>1</v>
      </c>
      <c r="L243" s="359">
        <v>2</v>
      </c>
      <c r="M243" s="360">
        <v>2018</v>
      </c>
      <c r="N243" s="361">
        <v>0</v>
      </c>
      <c r="O243" s="362">
        <v>42642</v>
      </c>
      <c r="P243" s="362">
        <v>42642</v>
      </c>
    </row>
    <row r="244" spans="1:16" ht="14.25">
      <c r="A244" s="356">
        <v>2016</v>
      </c>
      <c r="B244" s="357" t="s">
        <v>476</v>
      </c>
      <c r="C244" s="357" t="s">
        <v>477</v>
      </c>
      <c r="D244" s="358">
        <v>1021011</v>
      </c>
      <c r="E244" s="358">
        <v>1</v>
      </c>
      <c r="F244" s="358"/>
      <c r="G244" s="358">
        <v>940</v>
      </c>
      <c r="H244" s="358">
        <v>14.4</v>
      </c>
      <c r="I244" s="358"/>
      <c r="J244" s="358" t="s">
        <v>268</v>
      </c>
      <c r="K244" s="359" t="b">
        <f t="shared" si="9"/>
        <v>1</v>
      </c>
      <c r="L244" s="359">
        <v>3</v>
      </c>
      <c r="M244" s="360">
        <v>2019</v>
      </c>
      <c r="N244" s="361">
        <v>0</v>
      </c>
      <c r="O244" s="362">
        <v>42642</v>
      </c>
      <c r="P244" s="362">
        <v>42642</v>
      </c>
    </row>
    <row r="245" spans="1:16" ht="14.25">
      <c r="A245" s="356">
        <v>2016</v>
      </c>
      <c r="B245" s="357" t="s">
        <v>476</v>
      </c>
      <c r="C245" s="357" t="s">
        <v>477</v>
      </c>
      <c r="D245" s="358">
        <v>1021011</v>
      </c>
      <c r="E245" s="358">
        <v>1</v>
      </c>
      <c r="F245" s="358"/>
      <c r="G245" s="358">
        <v>940</v>
      </c>
      <c r="H245" s="358">
        <v>14.4</v>
      </c>
      <c r="I245" s="358"/>
      <c r="J245" s="358" t="s">
        <v>268</v>
      </c>
      <c r="K245" s="359" t="b">
        <f t="shared" si="9"/>
        <v>1</v>
      </c>
      <c r="L245" s="359">
        <v>6</v>
      </c>
      <c r="M245" s="360">
        <v>2022</v>
      </c>
      <c r="N245" s="361">
        <v>0</v>
      </c>
      <c r="O245" s="362">
        <v>42642</v>
      </c>
      <c r="P245" s="362">
        <v>42642</v>
      </c>
    </row>
    <row r="246" spans="1:16" ht="14.25">
      <c r="A246" s="356">
        <v>2016</v>
      </c>
      <c r="B246" s="357" t="s">
        <v>476</v>
      </c>
      <c r="C246" s="357" t="s">
        <v>477</v>
      </c>
      <c r="D246" s="358">
        <v>1021011</v>
      </c>
      <c r="E246" s="358">
        <v>1</v>
      </c>
      <c r="F246" s="358"/>
      <c r="G246" s="358">
        <v>940</v>
      </c>
      <c r="H246" s="358">
        <v>14.4</v>
      </c>
      <c r="I246" s="358"/>
      <c r="J246" s="358" t="s">
        <v>268</v>
      </c>
      <c r="K246" s="359" t="b">
        <f t="shared" si="9"/>
        <v>1</v>
      </c>
      <c r="L246" s="359">
        <v>5</v>
      </c>
      <c r="M246" s="360">
        <v>2021</v>
      </c>
      <c r="N246" s="361">
        <v>0</v>
      </c>
      <c r="O246" s="362">
        <v>42642</v>
      </c>
      <c r="P246" s="362">
        <v>42642</v>
      </c>
    </row>
    <row r="247" spans="1:16" ht="14.25">
      <c r="A247" s="356">
        <v>2016</v>
      </c>
      <c r="B247" s="357" t="s">
        <v>476</v>
      </c>
      <c r="C247" s="357" t="s">
        <v>477</v>
      </c>
      <c r="D247" s="358">
        <v>1021011</v>
      </c>
      <c r="E247" s="358">
        <v>1</v>
      </c>
      <c r="F247" s="358"/>
      <c r="G247" s="358">
        <v>550</v>
      </c>
      <c r="H247" s="358">
        <v>10</v>
      </c>
      <c r="I247" s="358"/>
      <c r="J247" s="358" t="s">
        <v>143</v>
      </c>
      <c r="K247" s="359" t="b">
        <f aca="true" t="shared" si="10" ref="K247:K255">FALSE</f>
        <v>0</v>
      </c>
      <c r="L247" s="359">
        <v>2</v>
      </c>
      <c r="M247" s="360">
        <v>2018</v>
      </c>
      <c r="N247" s="361">
        <v>1678204</v>
      </c>
      <c r="O247" s="362">
        <v>42642</v>
      </c>
      <c r="P247" s="362">
        <v>42642</v>
      </c>
    </row>
    <row r="248" spans="1:16" ht="14.25">
      <c r="A248" s="356">
        <v>2016</v>
      </c>
      <c r="B248" s="357" t="s">
        <v>476</v>
      </c>
      <c r="C248" s="357" t="s">
        <v>477</v>
      </c>
      <c r="D248" s="358">
        <v>1021011</v>
      </c>
      <c r="E248" s="358">
        <v>1</v>
      </c>
      <c r="F248" s="358"/>
      <c r="G248" s="358">
        <v>550</v>
      </c>
      <c r="H248" s="358">
        <v>10</v>
      </c>
      <c r="I248" s="358"/>
      <c r="J248" s="358" t="s">
        <v>143</v>
      </c>
      <c r="K248" s="359" t="b">
        <f t="shared" si="10"/>
        <v>0</v>
      </c>
      <c r="L248" s="359">
        <v>5</v>
      </c>
      <c r="M248" s="360">
        <v>2021</v>
      </c>
      <c r="N248" s="361">
        <v>2210004</v>
      </c>
      <c r="O248" s="362">
        <v>42642</v>
      </c>
      <c r="P248" s="362">
        <v>42642</v>
      </c>
    </row>
    <row r="249" spans="1:16" ht="14.25">
      <c r="A249" s="356">
        <v>2016</v>
      </c>
      <c r="B249" s="357" t="s">
        <v>476</v>
      </c>
      <c r="C249" s="357" t="s">
        <v>477</v>
      </c>
      <c r="D249" s="358">
        <v>1021011</v>
      </c>
      <c r="E249" s="358">
        <v>1</v>
      </c>
      <c r="F249" s="358"/>
      <c r="G249" s="358">
        <v>550</v>
      </c>
      <c r="H249" s="358">
        <v>10</v>
      </c>
      <c r="I249" s="358"/>
      <c r="J249" s="358" t="s">
        <v>143</v>
      </c>
      <c r="K249" s="359" t="b">
        <f t="shared" si="10"/>
        <v>0</v>
      </c>
      <c r="L249" s="359">
        <v>3</v>
      </c>
      <c r="M249" s="360">
        <v>2019</v>
      </c>
      <c r="N249" s="361">
        <v>1860004</v>
      </c>
      <c r="O249" s="362">
        <v>42642</v>
      </c>
      <c r="P249" s="362">
        <v>42642</v>
      </c>
    </row>
    <row r="250" spans="1:16" ht="14.25">
      <c r="A250" s="356">
        <v>2016</v>
      </c>
      <c r="B250" s="357" t="s">
        <v>476</v>
      </c>
      <c r="C250" s="357" t="s">
        <v>477</v>
      </c>
      <c r="D250" s="358">
        <v>1021011</v>
      </c>
      <c r="E250" s="358">
        <v>1</v>
      </c>
      <c r="F250" s="358"/>
      <c r="G250" s="358">
        <v>550</v>
      </c>
      <c r="H250" s="358">
        <v>10</v>
      </c>
      <c r="I250" s="358"/>
      <c r="J250" s="358" t="s">
        <v>143</v>
      </c>
      <c r="K250" s="359" t="b">
        <f t="shared" si="10"/>
        <v>0</v>
      </c>
      <c r="L250" s="359">
        <v>1</v>
      </c>
      <c r="M250" s="360">
        <v>2017</v>
      </c>
      <c r="N250" s="361">
        <v>1478204</v>
      </c>
      <c r="O250" s="362">
        <v>42642</v>
      </c>
      <c r="P250" s="362">
        <v>42642</v>
      </c>
    </row>
    <row r="251" spans="1:16" ht="14.25">
      <c r="A251" s="356">
        <v>2016</v>
      </c>
      <c r="B251" s="357" t="s">
        <v>476</v>
      </c>
      <c r="C251" s="357" t="s">
        <v>477</v>
      </c>
      <c r="D251" s="358">
        <v>1021011</v>
      </c>
      <c r="E251" s="358">
        <v>1</v>
      </c>
      <c r="F251" s="358"/>
      <c r="G251" s="358">
        <v>550</v>
      </c>
      <c r="H251" s="358">
        <v>10</v>
      </c>
      <c r="I251" s="358"/>
      <c r="J251" s="358" t="s">
        <v>143</v>
      </c>
      <c r="K251" s="359" t="b">
        <f t="shared" si="10"/>
        <v>0</v>
      </c>
      <c r="L251" s="359">
        <v>7</v>
      </c>
      <c r="M251" s="360">
        <v>2023</v>
      </c>
      <c r="N251" s="361">
        <v>2418000</v>
      </c>
      <c r="O251" s="362">
        <v>42642</v>
      </c>
      <c r="P251" s="362">
        <v>42642</v>
      </c>
    </row>
    <row r="252" spans="1:16" ht="14.25">
      <c r="A252" s="356">
        <v>2016</v>
      </c>
      <c r="B252" s="357" t="s">
        <v>476</v>
      </c>
      <c r="C252" s="357" t="s">
        <v>477</v>
      </c>
      <c r="D252" s="358">
        <v>1021011</v>
      </c>
      <c r="E252" s="358">
        <v>1</v>
      </c>
      <c r="F252" s="358"/>
      <c r="G252" s="358">
        <v>550</v>
      </c>
      <c r="H252" s="358">
        <v>10</v>
      </c>
      <c r="I252" s="358"/>
      <c r="J252" s="358" t="s">
        <v>143</v>
      </c>
      <c r="K252" s="359" t="b">
        <f t="shared" si="10"/>
        <v>0</v>
      </c>
      <c r="L252" s="359">
        <v>0</v>
      </c>
      <c r="M252" s="360">
        <v>2016</v>
      </c>
      <c r="N252" s="361">
        <v>0</v>
      </c>
      <c r="O252" s="362">
        <v>42642</v>
      </c>
      <c r="P252" s="362">
        <v>42642</v>
      </c>
    </row>
    <row r="253" spans="1:16" ht="14.25">
      <c r="A253" s="356">
        <v>2016</v>
      </c>
      <c r="B253" s="357" t="s">
        <v>476</v>
      </c>
      <c r="C253" s="357" t="s">
        <v>477</v>
      </c>
      <c r="D253" s="358">
        <v>1021011</v>
      </c>
      <c r="E253" s="358">
        <v>1</v>
      </c>
      <c r="F253" s="358"/>
      <c r="G253" s="358">
        <v>550</v>
      </c>
      <c r="H253" s="358">
        <v>10</v>
      </c>
      <c r="I253" s="358"/>
      <c r="J253" s="358" t="s">
        <v>143</v>
      </c>
      <c r="K253" s="359" t="b">
        <f t="shared" si="10"/>
        <v>0</v>
      </c>
      <c r="L253" s="359">
        <v>8</v>
      </c>
      <c r="M253" s="360">
        <v>2024</v>
      </c>
      <c r="N253" s="361">
        <v>2065692</v>
      </c>
      <c r="O253" s="362">
        <v>42642</v>
      </c>
      <c r="P253" s="362">
        <v>42642</v>
      </c>
    </row>
    <row r="254" spans="1:16" ht="14.25">
      <c r="A254" s="356">
        <v>2016</v>
      </c>
      <c r="B254" s="357" t="s">
        <v>476</v>
      </c>
      <c r="C254" s="357" t="s">
        <v>477</v>
      </c>
      <c r="D254" s="358">
        <v>1021011</v>
      </c>
      <c r="E254" s="358">
        <v>1</v>
      </c>
      <c r="F254" s="358"/>
      <c r="G254" s="358">
        <v>550</v>
      </c>
      <c r="H254" s="358">
        <v>10</v>
      </c>
      <c r="I254" s="358"/>
      <c r="J254" s="358" t="s">
        <v>143</v>
      </c>
      <c r="K254" s="359" t="b">
        <f t="shared" si="10"/>
        <v>0</v>
      </c>
      <c r="L254" s="359">
        <v>4</v>
      </c>
      <c r="M254" s="360">
        <v>2020</v>
      </c>
      <c r="N254" s="361">
        <v>2210004</v>
      </c>
      <c r="O254" s="362">
        <v>42642</v>
      </c>
      <c r="P254" s="362">
        <v>42642</v>
      </c>
    </row>
    <row r="255" spans="1:16" ht="14.25">
      <c r="A255" s="356">
        <v>2016</v>
      </c>
      <c r="B255" s="357" t="s">
        <v>476</v>
      </c>
      <c r="C255" s="357" t="s">
        <v>477</v>
      </c>
      <c r="D255" s="358">
        <v>1021011</v>
      </c>
      <c r="E255" s="358">
        <v>1</v>
      </c>
      <c r="F255" s="358"/>
      <c r="G255" s="358">
        <v>550</v>
      </c>
      <c r="H255" s="358">
        <v>10</v>
      </c>
      <c r="I255" s="358"/>
      <c r="J255" s="358" t="s">
        <v>143</v>
      </c>
      <c r="K255" s="359" t="b">
        <f t="shared" si="10"/>
        <v>0</v>
      </c>
      <c r="L255" s="359">
        <v>6</v>
      </c>
      <c r="M255" s="360">
        <v>2022</v>
      </c>
      <c r="N255" s="361">
        <v>2250004</v>
      </c>
      <c r="O255" s="362">
        <v>42642</v>
      </c>
      <c r="P255" s="362">
        <v>42642</v>
      </c>
    </row>
    <row r="256" spans="1:16" ht="14.25">
      <c r="A256" s="356">
        <v>2016</v>
      </c>
      <c r="B256" s="357" t="s">
        <v>476</v>
      </c>
      <c r="C256" s="357" t="s">
        <v>477</v>
      </c>
      <c r="D256" s="358">
        <v>1021011</v>
      </c>
      <c r="E256" s="358">
        <v>1</v>
      </c>
      <c r="F256" s="358"/>
      <c r="G256" s="358">
        <v>680</v>
      </c>
      <c r="H256" s="358" t="s">
        <v>176</v>
      </c>
      <c r="I256" s="358"/>
      <c r="J256" s="358" t="s">
        <v>177</v>
      </c>
      <c r="K256" s="359" t="b">
        <f aca="true" t="shared" si="11" ref="K256:K291">TRUE</f>
        <v>1</v>
      </c>
      <c r="L256" s="359">
        <v>1</v>
      </c>
      <c r="M256" s="360">
        <v>2017</v>
      </c>
      <c r="N256" s="361">
        <v>0</v>
      </c>
      <c r="O256" s="362">
        <v>42642</v>
      </c>
      <c r="P256" s="362">
        <v>42642</v>
      </c>
    </row>
    <row r="257" spans="1:16" ht="14.25">
      <c r="A257" s="356">
        <v>2016</v>
      </c>
      <c r="B257" s="357" t="s">
        <v>476</v>
      </c>
      <c r="C257" s="357" t="s">
        <v>477</v>
      </c>
      <c r="D257" s="358">
        <v>1021011</v>
      </c>
      <c r="E257" s="358">
        <v>1</v>
      </c>
      <c r="F257" s="358"/>
      <c r="G257" s="358">
        <v>680</v>
      </c>
      <c r="H257" s="358" t="s">
        <v>176</v>
      </c>
      <c r="I257" s="358"/>
      <c r="J257" s="358" t="s">
        <v>177</v>
      </c>
      <c r="K257" s="359" t="b">
        <f t="shared" si="11"/>
        <v>1</v>
      </c>
      <c r="L257" s="359">
        <v>4</v>
      </c>
      <c r="M257" s="360">
        <v>2020</v>
      </c>
      <c r="N257" s="361">
        <v>0</v>
      </c>
      <c r="O257" s="362">
        <v>42642</v>
      </c>
      <c r="P257" s="362">
        <v>42642</v>
      </c>
    </row>
    <row r="258" spans="1:16" ht="14.25">
      <c r="A258" s="356">
        <v>2016</v>
      </c>
      <c r="B258" s="357" t="s">
        <v>476</v>
      </c>
      <c r="C258" s="357" t="s">
        <v>477</v>
      </c>
      <c r="D258" s="358">
        <v>1021011</v>
      </c>
      <c r="E258" s="358">
        <v>1</v>
      </c>
      <c r="F258" s="358"/>
      <c r="G258" s="358">
        <v>680</v>
      </c>
      <c r="H258" s="358" t="s">
        <v>176</v>
      </c>
      <c r="I258" s="358"/>
      <c r="J258" s="358" t="s">
        <v>177</v>
      </c>
      <c r="K258" s="359" t="b">
        <f t="shared" si="11"/>
        <v>1</v>
      </c>
      <c r="L258" s="359">
        <v>2</v>
      </c>
      <c r="M258" s="360">
        <v>2018</v>
      </c>
      <c r="N258" s="361">
        <v>0</v>
      </c>
      <c r="O258" s="362">
        <v>42642</v>
      </c>
      <c r="P258" s="362">
        <v>42642</v>
      </c>
    </row>
    <row r="259" spans="1:16" ht="14.25">
      <c r="A259" s="356">
        <v>2016</v>
      </c>
      <c r="B259" s="357" t="s">
        <v>476</v>
      </c>
      <c r="C259" s="357" t="s">
        <v>477</v>
      </c>
      <c r="D259" s="358">
        <v>1021011</v>
      </c>
      <c r="E259" s="358">
        <v>1</v>
      </c>
      <c r="F259" s="358"/>
      <c r="G259" s="358">
        <v>680</v>
      </c>
      <c r="H259" s="358" t="s">
        <v>176</v>
      </c>
      <c r="I259" s="358"/>
      <c r="J259" s="358" t="s">
        <v>177</v>
      </c>
      <c r="K259" s="359" t="b">
        <f t="shared" si="11"/>
        <v>1</v>
      </c>
      <c r="L259" s="359">
        <v>6</v>
      </c>
      <c r="M259" s="360">
        <v>2022</v>
      </c>
      <c r="N259" s="361">
        <v>0</v>
      </c>
      <c r="O259" s="362">
        <v>42642</v>
      </c>
      <c r="P259" s="362">
        <v>42642</v>
      </c>
    </row>
    <row r="260" spans="1:16" ht="14.25">
      <c r="A260" s="356">
        <v>2016</v>
      </c>
      <c r="B260" s="357" t="s">
        <v>476</v>
      </c>
      <c r="C260" s="357" t="s">
        <v>477</v>
      </c>
      <c r="D260" s="358">
        <v>1021011</v>
      </c>
      <c r="E260" s="358">
        <v>1</v>
      </c>
      <c r="F260" s="358"/>
      <c r="G260" s="358">
        <v>680</v>
      </c>
      <c r="H260" s="358" t="s">
        <v>176</v>
      </c>
      <c r="I260" s="358"/>
      <c r="J260" s="358" t="s">
        <v>177</v>
      </c>
      <c r="K260" s="359" t="b">
        <f t="shared" si="11"/>
        <v>1</v>
      </c>
      <c r="L260" s="359">
        <v>7</v>
      </c>
      <c r="M260" s="360">
        <v>2023</v>
      </c>
      <c r="N260" s="361">
        <v>0</v>
      </c>
      <c r="O260" s="362">
        <v>42642</v>
      </c>
      <c r="P260" s="362">
        <v>42642</v>
      </c>
    </row>
    <row r="261" spans="1:16" ht="14.25">
      <c r="A261" s="356">
        <v>2016</v>
      </c>
      <c r="B261" s="357" t="s">
        <v>476</v>
      </c>
      <c r="C261" s="357" t="s">
        <v>477</v>
      </c>
      <c r="D261" s="358">
        <v>1021011</v>
      </c>
      <c r="E261" s="358">
        <v>1</v>
      </c>
      <c r="F261" s="358"/>
      <c r="G261" s="358">
        <v>680</v>
      </c>
      <c r="H261" s="358" t="s">
        <v>176</v>
      </c>
      <c r="I261" s="358"/>
      <c r="J261" s="358" t="s">
        <v>177</v>
      </c>
      <c r="K261" s="359" t="b">
        <f t="shared" si="11"/>
        <v>1</v>
      </c>
      <c r="L261" s="359">
        <v>8</v>
      </c>
      <c r="M261" s="360">
        <v>2024</v>
      </c>
      <c r="N261" s="361">
        <v>0</v>
      </c>
      <c r="O261" s="362">
        <v>42642</v>
      </c>
      <c r="P261" s="362">
        <v>42642</v>
      </c>
    </row>
    <row r="262" spans="1:16" ht="14.25">
      <c r="A262" s="356">
        <v>2016</v>
      </c>
      <c r="B262" s="357" t="s">
        <v>476</v>
      </c>
      <c r="C262" s="357" t="s">
        <v>477</v>
      </c>
      <c r="D262" s="358">
        <v>1021011</v>
      </c>
      <c r="E262" s="358">
        <v>1</v>
      </c>
      <c r="F262" s="358"/>
      <c r="G262" s="358">
        <v>680</v>
      </c>
      <c r="H262" s="358" t="s">
        <v>176</v>
      </c>
      <c r="I262" s="358"/>
      <c r="J262" s="358" t="s">
        <v>177</v>
      </c>
      <c r="K262" s="359" t="b">
        <f t="shared" si="11"/>
        <v>1</v>
      </c>
      <c r="L262" s="359">
        <v>0</v>
      </c>
      <c r="M262" s="360">
        <v>2016</v>
      </c>
      <c r="N262" s="361">
        <v>434833.41</v>
      </c>
      <c r="O262" s="362">
        <v>42642</v>
      </c>
      <c r="P262" s="362">
        <v>42642</v>
      </c>
    </row>
    <row r="263" spans="1:16" ht="14.25">
      <c r="A263" s="356">
        <v>2016</v>
      </c>
      <c r="B263" s="357" t="s">
        <v>476</v>
      </c>
      <c r="C263" s="357" t="s">
        <v>477</v>
      </c>
      <c r="D263" s="358">
        <v>1021011</v>
      </c>
      <c r="E263" s="358">
        <v>1</v>
      </c>
      <c r="F263" s="358"/>
      <c r="G263" s="358">
        <v>680</v>
      </c>
      <c r="H263" s="358" t="s">
        <v>176</v>
      </c>
      <c r="I263" s="358"/>
      <c r="J263" s="358" t="s">
        <v>177</v>
      </c>
      <c r="K263" s="359" t="b">
        <f t="shared" si="11"/>
        <v>1</v>
      </c>
      <c r="L263" s="359">
        <v>5</v>
      </c>
      <c r="M263" s="360">
        <v>2021</v>
      </c>
      <c r="N263" s="361">
        <v>0</v>
      </c>
      <c r="O263" s="362">
        <v>42642</v>
      </c>
      <c r="P263" s="362">
        <v>42642</v>
      </c>
    </row>
    <row r="264" spans="1:16" ht="14.25">
      <c r="A264" s="356">
        <v>2016</v>
      </c>
      <c r="B264" s="357" t="s">
        <v>476</v>
      </c>
      <c r="C264" s="357" t="s">
        <v>477</v>
      </c>
      <c r="D264" s="358">
        <v>1021011</v>
      </c>
      <c r="E264" s="358">
        <v>1</v>
      </c>
      <c r="F264" s="358"/>
      <c r="G264" s="358">
        <v>680</v>
      </c>
      <c r="H264" s="358" t="s">
        <v>176</v>
      </c>
      <c r="I264" s="358"/>
      <c r="J264" s="358" t="s">
        <v>177</v>
      </c>
      <c r="K264" s="359" t="b">
        <f t="shared" si="11"/>
        <v>1</v>
      </c>
      <c r="L264" s="359">
        <v>3</v>
      </c>
      <c r="M264" s="360">
        <v>2019</v>
      </c>
      <c r="N264" s="361">
        <v>0</v>
      </c>
      <c r="O264" s="362">
        <v>42642</v>
      </c>
      <c r="P264" s="362">
        <v>42642</v>
      </c>
    </row>
    <row r="265" spans="1:16" ht="14.25">
      <c r="A265" s="356">
        <v>2016</v>
      </c>
      <c r="B265" s="357" t="s">
        <v>476</v>
      </c>
      <c r="C265" s="357" t="s">
        <v>477</v>
      </c>
      <c r="D265" s="358">
        <v>1021011</v>
      </c>
      <c r="E265" s="358">
        <v>1</v>
      </c>
      <c r="F265" s="358"/>
      <c r="G265" s="358">
        <v>810</v>
      </c>
      <c r="H265" s="358">
        <v>13.2</v>
      </c>
      <c r="I265" s="358"/>
      <c r="J265" s="358" t="s">
        <v>231</v>
      </c>
      <c r="K265" s="359" t="b">
        <f t="shared" si="11"/>
        <v>1</v>
      </c>
      <c r="L265" s="359">
        <v>7</v>
      </c>
      <c r="M265" s="360">
        <v>2023</v>
      </c>
      <c r="N265" s="361">
        <v>0</v>
      </c>
      <c r="O265" s="362">
        <v>42642</v>
      </c>
      <c r="P265" s="362">
        <v>42642</v>
      </c>
    </row>
    <row r="266" spans="1:16" ht="14.25">
      <c r="A266" s="356">
        <v>2016</v>
      </c>
      <c r="B266" s="357" t="s">
        <v>476</v>
      </c>
      <c r="C266" s="357" t="s">
        <v>477</v>
      </c>
      <c r="D266" s="358">
        <v>1021011</v>
      </c>
      <c r="E266" s="358">
        <v>1</v>
      </c>
      <c r="F266" s="358"/>
      <c r="G266" s="358">
        <v>810</v>
      </c>
      <c r="H266" s="358">
        <v>13.2</v>
      </c>
      <c r="I266" s="358"/>
      <c r="J266" s="358" t="s">
        <v>231</v>
      </c>
      <c r="K266" s="359" t="b">
        <f t="shared" si="11"/>
        <v>1</v>
      </c>
      <c r="L266" s="359">
        <v>0</v>
      </c>
      <c r="M266" s="360">
        <v>2016</v>
      </c>
      <c r="N266" s="361">
        <v>0</v>
      </c>
      <c r="O266" s="362">
        <v>42642</v>
      </c>
      <c r="P266" s="362">
        <v>42642</v>
      </c>
    </row>
    <row r="267" spans="1:16" ht="14.25">
      <c r="A267" s="356">
        <v>2016</v>
      </c>
      <c r="B267" s="357" t="s">
        <v>476</v>
      </c>
      <c r="C267" s="357" t="s">
        <v>477</v>
      </c>
      <c r="D267" s="358">
        <v>1021011</v>
      </c>
      <c r="E267" s="358">
        <v>1</v>
      </c>
      <c r="F267" s="358"/>
      <c r="G267" s="358">
        <v>810</v>
      </c>
      <c r="H267" s="358">
        <v>13.2</v>
      </c>
      <c r="I267" s="358"/>
      <c r="J267" s="358" t="s">
        <v>231</v>
      </c>
      <c r="K267" s="359" t="b">
        <f t="shared" si="11"/>
        <v>1</v>
      </c>
      <c r="L267" s="359">
        <v>6</v>
      </c>
      <c r="M267" s="360">
        <v>2022</v>
      </c>
      <c r="N267" s="361">
        <v>0</v>
      </c>
      <c r="O267" s="362">
        <v>42642</v>
      </c>
      <c r="P267" s="362">
        <v>42642</v>
      </c>
    </row>
    <row r="268" spans="1:16" ht="14.25">
      <c r="A268" s="356">
        <v>2016</v>
      </c>
      <c r="B268" s="357" t="s">
        <v>476</v>
      </c>
      <c r="C268" s="357" t="s">
        <v>477</v>
      </c>
      <c r="D268" s="358">
        <v>1021011</v>
      </c>
      <c r="E268" s="358">
        <v>1</v>
      </c>
      <c r="F268" s="358"/>
      <c r="G268" s="358">
        <v>810</v>
      </c>
      <c r="H268" s="358">
        <v>13.2</v>
      </c>
      <c r="I268" s="358"/>
      <c r="J268" s="358" t="s">
        <v>231</v>
      </c>
      <c r="K268" s="359" t="b">
        <f t="shared" si="11"/>
        <v>1</v>
      </c>
      <c r="L268" s="359">
        <v>3</v>
      </c>
      <c r="M268" s="360">
        <v>2019</v>
      </c>
      <c r="N268" s="361">
        <v>0</v>
      </c>
      <c r="O268" s="362">
        <v>42642</v>
      </c>
      <c r="P268" s="362">
        <v>42642</v>
      </c>
    </row>
    <row r="269" spans="1:16" ht="14.25">
      <c r="A269" s="356">
        <v>2016</v>
      </c>
      <c r="B269" s="357" t="s">
        <v>476</v>
      </c>
      <c r="C269" s="357" t="s">
        <v>477</v>
      </c>
      <c r="D269" s="358">
        <v>1021011</v>
      </c>
      <c r="E269" s="358">
        <v>1</v>
      </c>
      <c r="F269" s="358"/>
      <c r="G269" s="358">
        <v>810</v>
      </c>
      <c r="H269" s="358">
        <v>13.2</v>
      </c>
      <c r="I269" s="358"/>
      <c r="J269" s="358" t="s">
        <v>231</v>
      </c>
      <c r="K269" s="359" t="b">
        <f t="shared" si="11"/>
        <v>1</v>
      </c>
      <c r="L269" s="359">
        <v>2</v>
      </c>
      <c r="M269" s="360">
        <v>2018</v>
      </c>
      <c r="N269" s="361">
        <v>0</v>
      </c>
      <c r="O269" s="362">
        <v>42642</v>
      </c>
      <c r="P269" s="362">
        <v>42642</v>
      </c>
    </row>
    <row r="270" spans="1:16" ht="14.25">
      <c r="A270" s="356">
        <v>2016</v>
      </c>
      <c r="B270" s="357" t="s">
        <v>476</v>
      </c>
      <c r="C270" s="357" t="s">
        <v>477</v>
      </c>
      <c r="D270" s="358">
        <v>1021011</v>
      </c>
      <c r="E270" s="358">
        <v>1</v>
      </c>
      <c r="F270" s="358"/>
      <c r="G270" s="358">
        <v>810</v>
      </c>
      <c r="H270" s="358">
        <v>13.2</v>
      </c>
      <c r="I270" s="358"/>
      <c r="J270" s="358" t="s">
        <v>231</v>
      </c>
      <c r="K270" s="359" t="b">
        <f t="shared" si="11"/>
        <v>1</v>
      </c>
      <c r="L270" s="359">
        <v>8</v>
      </c>
      <c r="M270" s="360">
        <v>2024</v>
      </c>
      <c r="N270" s="361">
        <v>0</v>
      </c>
      <c r="O270" s="362">
        <v>42642</v>
      </c>
      <c r="P270" s="362">
        <v>42642</v>
      </c>
    </row>
    <row r="271" spans="1:16" ht="14.25">
      <c r="A271" s="356">
        <v>2016</v>
      </c>
      <c r="B271" s="357" t="s">
        <v>476</v>
      </c>
      <c r="C271" s="357" t="s">
        <v>477</v>
      </c>
      <c r="D271" s="358">
        <v>1021011</v>
      </c>
      <c r="E271" s="358">
        <v>1</v>
      </c>
      <c r="F271" s="358"/>
      <c r="G271" s="358">
        <v>810</v>
      </c>
      <c r="H271" s="358">
        <v>13.2</v>
      </c>
      <c r="I271" s="358"/>
      <c r="J271" s="358" t="s">
        <v>231</v>
      </c>
      <c r="K271" s="359" t="b">
        <f t="shared" si="11"/>
        <v>1</v>
      </c>
      <c r="L271" s="359">
        <v>1</v>
      </c>
      <c r="M271" s="360">
        <v>2017</v>
      </c>
      <c r="N271" s="361">
        <v>0</v>
      </c>
      <c r="O271" s="362">
        <v>42642</v>
      </c>
      <c r="P271" s="362">
        <v>42642</v>
      </c>
    </row>
    <row r="272" spans="1:16" ht="14.25">
      <c r="A272" s="356">
        <v>2016</v>
      </c>
      <c r="B272" s="357" t="s">
        <v>476</v>
      </c>
      <c r="C272" s="357" t="s">
        <v>477</v>
      </c>
      <c r="D272" s="358">
        <v>1021011</v>
      </c>
      <c r="E272" s="358">
        <v>1</v>
      </c>
      <c r="F272" s="358"/>
      <c r="G272" s="358">
        <v>810</v>
      </c>
      <c r="H272" s="358">
        <v>13.2</v>
      </c>
      <c r="I272" s="358"/>
      <c r="J272" s="358" t="s">
        <v>231</v>
      </c>
      <c r="K272" s="359" t="b">
        <f t="shared" si="11"/>
        <v>1</v>
      </c>
      <c r="L272" s="359">
        <v>5</v>
      </c>
      <c r="M272" s="360">
        <v>2021</v>
      </c>
      <c r="N272" s="361">
        <v>0</v>
      </c>
      <c r="O272" s="362">
        <v>42642</v>
      </c>
      <c r="P272" s="362">
        <v>42642</v>
      </c>
    </row>
    <row r="273" spans="1:16" ht="14.25">
      <c r="A273" s="356">
        <v>2016</v>
      </c>
      <c r="B273" s="357" t="s">
        <v>476</v>
      </c>
      <c r="C273" s="357" t="s">
        <v>477</v>
      </c>
      <c r="D273" s="358">
        <v>1021011</v>
      </c>
      <c r="E273" s="358">
        <v>1</v>
      </c>
      <c r="F273" s="358"/>
      <c r="G273" s="358">
        <v>810</v>
      </c>
      <c r="H273" s="358">
        <v>13.2</v>
      </c>
      <c r="I273" s="358"/>
      <c r="J273" s="358" t="s">
        <v>231</v>
      </c>
      <c r="K273" s="359" t="b">
        <f t="shared" si="11"/>
        <v>1</v>
      </c>
      <c r="L273" s="359">
        <v>4</v>
      </c>
      <c r="M273" s="360">
        <v>2020</v>
      </c>
      <c r="N273" s="361">
        <v>0</v>
      </c>
      <c r="O273" s="362">
        <v>42642</v>
      </c>
      <c r="P273" s="362">
        <v>42642</v>
      </c>
    </row>
    <row r="274" spans="1:16" ht="14.25">
      <c r="A274" s="356">
        <v>2016</v>
      </c>
      <c r="B274" s="357" t="s">
        <v>476</v>
      </c>
      <c r="C274" s="357" t="s">
        <v>477</v>
      </c>
      <c r="D274" s="358">
        <v>1021011</v>
      </c>
      <c r="E274" s="358">
        <v>1</v>
      </c>
      <c r="F274" s="358"/>
      <c r="G274" s="358">
        <v>400</v>
      </c>
      <c r="H274" s="358">
        <v>7</v>
      </c>
      <c r="I274" s="358"/>
      <c r="J274" s="358" t="s">
        <v>107</v>
      </c>
      <c r="K274" s="359" t="b">
        <f t="shared" si="11"/>
        <v>1</v>
      </c>
      <c r="L274" s="359">
        <v>0</v>
      </c>
      <c r="M274" s="360">
        <v>2016</v>
      </c>
      <c r="N274" s="361">
        <v>0</v>
      </c>
      <c r="O274" s="362">
        <v>42642</v>
      </c>
      <c r="P274" s="362">
        <v>42642</v>
      </c>
    </row>
    <row r="275" spans="1:16" ht="14.25">
      <c r="A275" s="356">
        <v>2016</v>
      </c>
      <c r="B275" s="357" t="s">
        <v>476</v>
      </c>
      <c r="C275" s="357" t="s">
        <v>477</v>
      </c>
      <c r="D275" s="358">
        <v>1021011</v>
      </c>
      <c r="E275" s="358">
        <v>1</v>
      </c>
      <c r="F275" s="358"/>
      <c r="G275" s="358">
        <v>400</v>
      </c>
      <c r="H275" s="358">
        <v>7</v>
      </c>
      <c r="I275" s="358"/>
      <c r="J275" s="358" t="s">
        <v>107</v>
      </c>
      <c r="K275" s="359" t="b">
        <f t="shared" si="11"/>
        <v>1</v>
      </c>
      <c r="L275" s="359">
        <v>8</v>
      </c>
      <c r="M275" s="360">
        <v>2024</v>
      </c>
      <c r="N275" s="361">
        <v>0</v>
      </c>
      <c r="O275" s="362">
        <v>42642</v>
      </c>
      <c r="P275" s="362">
        <v>42642</v>
      </c>
    </row>
    <row r="276" spans="1:16" ht="14.25">
      <c r="A276" s="356">
        <v>2016</v>
      </c>
      <c r="B276" s="357" t="s">
        <v>476</v>
      </c>
      <c r="C276" s="357" t="s">
        <v>477</v>
      </c>
      <c r="D276" s="358">
        <v>1021011</v>
      </c>
      <c r="E276" s="358">
        <v>1</v>
      </c>
      <c r="F276" s="358"/>
      <c r="G276" s="358">
        <v>400</v>
      </c>
      <c r="H276" s="358">
        <v>7</v>
      </c>
      <c r="I276" s="358"/>
      <c r="J276" s="358" t="s">
        <v>107</v>
      </c>
      <c r="K276" s="359" t="b">
        <f t="shared" si="11"/>
        <v>1</v>
      </c>
      <c r="L276" s="359">
        <v>7</v>
      </c>
      <c r="M276" s="360">
        <v>2023</v>
      </c>
      <c r="N276" s="361">
        <v>0</v>
      </c>
      <c r="O276" s="362">
        <v>42642</v>
      </c>
      <c r="P276" s="362">
        <v>42642</v>
      </c>
    </row>
    <row r="277" spans="1:16" ht="14.25">
      <c r="A277" s="356">
        <v>2016</v>
      </c>
      <c r="B277" s="357" t="s">
        <v>476</v>
      </c>
      <c r="C277" s="357" t="s">
        <v>477</v>
      </c>
      <c r="D277" s="358">
        <v>1021011</v>
      </c>
      <c r="E277" s="358">
        <v>1</v>
      </c>
      <c r="F277" s="358"/>
      <c r="G277" s="358">
        <v>400</v>
      </c>
      <c r="H277" s="358">
        <v>7</v>
      </c>
      <c r="I277" s="358"/>
      <c r="J277" s="358" t="s">
        <v>107</v>
      </c>
      <c r="K277" s="359" t="b">
        <f t="shared" si="11"/>
        <v>1</v>
      </c>
      <c r="L277" s="359">
        <v>5</v>
      </c>
      <c r="M277" s="360">
        <v>2021</v>
      </c>
      <c r="N277" s="361">
        <v>0</v>
      </c>
      <c r="O277" s="362">
        <v>42642</v>
      </c>
      <c r="P277" s="362">
        <v>42642</v>
      </c>
    </row>
    <row r="278" spans="1:16" ht="14.25">
      <c r="A278" s="356">
        <v>2016</v>
      </c>
      <c r="B278" s="357" t="s">
        <v>476</v>
      </c>
      <c r="C278" s="357" t="s">
        <v>477</v>
      </c>
      <c r="D278" s="358">
        <v>1021011</v>
      </c>
      <c r="E278" s="358">
        <v>1</v>
      </c>
      <c r="F278" s="358"/>
      <c r="G278" s="358">
        <v>400</v>
      </c>
      <c r="H278" s="358">
        <v>7</v>
      </c>
      <c r="I278" s="358"/>
      <c r="J278" s="358" t="s">
        <v>107</v>
      </c>
      <c r="K278" s="359" t="b">
        <f t="shared" si="11"/>
        <v>1</v>
      </c>
      <c r="L278" s="359">
        <v>1</v>
      </c>
      <c r="M278" s="360">
        <v>2017</v>
      </c>
      <c r="N278" s="361">
        <v>0</v>
      </c>
      <c r="O278" s="362">
        <v>42642</v>
      </c>
      <c r="P278" s="362">
        <v>42642</v>
      </c>
    </row>
    <row r="279" spans="1:16" ht="14.25">
      <c r="A279" s="356">
        <v>2016</v>
      </c>
      <c r="B279" s="357" t="s">
        <v>476</v>
      </c>
      <c r="C279" s="357" t="s">
        <v>477</v>
      </c>
      <c r="D279" s="358">
        <v>1021011</v>
      </c>
      <c r="E279" s="358">
        <v>1</v>
      </c>
      <c r="F279" s="358"/>
      <c r="G279" s="358">
        <v>400</v>
      </c>
      <c r="H279" s="358">
        <v>7</v>
      </c>
      <c r="I279" s="358"/>
      <c r="J279" s="358" t="s">
        <v>107</v>
      </c>
      <c r="K279" s="359" t="b">
        <f t="shared" si="11"/>
        <v>1</v>
      </c>
      <c r="L279" s="359">
        <v>3</v>
      </c>
      <c r="M279" s="360">
        <v>2019</v>
      </c>
      <c r="N279" s="361">
        <v>0</v>
      </c>
      <c r="O279" s="362">
        <v>42642</v>
      </c>
      <c r="P279" s="362">
        <v>42642</v>
      </c>
    </row>
    <row r="280" spans="1:16" ht="14.25">
      <c r="A280" s="356">
        <v>2016</v>
      </c>
      <c r="B280" s="357" t="s">
        <v>476</v>
      </c>
      <c r="C280" s="357" t="s">
        <v>477</v>
      </c>
      <c r="D280" s="358">
        <v>1021011</v>
      </c>
      <c r="E280" s="358">
        <v>1</v>
      </c>
      <c r="F280" s="358"/>
      <c r="G280" s="358">
        <v>400</v>
      </c>
      <c r="H280" s="358">
        <v>7</v>
      </c>
      <c r="I280" s="358"/>
      <c r="J280" s="358" t="s">
        <v>107</v>
      </c>
      <c r="K280" s="359" t="b">
        <f t="shared" si="11"/>
        <v>1</v>
      </c>
      <c r="L280" s="359">
        <v>2</v>
      </c>
      <c r="M280" s="360">
        <v>2018</v>
      </c>
      <c r="N280" s="361">
        <v>0</v>
      </c>
      <c r="O280" s="362">
        <v>42642</v>
      </c>
      <c r="P280" s="362">
        <v>42642</v>
      </c>
    </row>
    <row r="281" spans="1:16" ht="14.25">
      <c r="A281" s="356">
        <v>2016</v>
      </c>
      <c r="B281" s="357" t="s">
        <v>476</v>
      </c>
      <c r="C281" s="357" t="s">
        <v>477</v>
      </c>
      <c r="D281" s="358">
        <v>1021011</v>
      </c>
      <c r="E281" s="358">
        <v>1</v>
      </c>
      <c r="F281" s="358"/>
      <c r="G281" s="358">
        <v>400</v>
      </c>
      <c r="H281" s="358">
        <v>7</v>
      </c>
      <c r="I281" s="358"/>
      <c r="J281" s="358" t="s">
        <v>107</v>
      </c>
      <c r="K281" s="359" t="b">
        <f t="shared" si="11"/>
        <v>1</v>
      </c>
      <c r="L281" s="359">
        <v>6</v>
      </c>
      <c r="M281" s="360">
        <v>2022</v>
      </c>
      <c r="N281" s="361">
        <v>0</v>
      </c>
      <c r="O281" s="362">
        <v>42642</v>
      </c>
      <c r="P281" s="362">
        <v>42642</v>
      </c>
    </row>
    <row r="282" spans="1:16" ht="14.25">
      <c r="A282" s="356">
        <v>2016</v>
      </c>
      <c r="B282" s="357" t="s">
        <v>476</v>
      </c>
      <c r="C282" s="357" t="s">
        <v>477</v>
      </c>
      <c r="D282" s="358">
        <v>1021011</v>
      </c>
      <c r="E282" s="358">
        <v>1</v>
      </c>
      <c r="F282" s="358"/>
      <c r="G282" s="358">
        <v>400</v>
      </c>
      <c r="H282" s="358">
        <v>7</v>
      </c>
      <c r="I282" s="358"/>
      <c r="J282" s="358" t="s">
        <v>107</v>
      </c>
      <c r="K282" s="359" t="b">
        <f t="shared" si="11"/>
        <v>1</v>
      </c>
      <c r="L282" s="359">
        <v>4</v>
      </c>
      <c r="M282" s="360">
        <v>2020</v>
      </c>
      <c r="N282" s="361">
        <v>0</v>
      </c>
      <c r="O282" s="362">
        <v>42642</v>
      </c>
      <c r="P282" s="362">
        <v>42642</v>
      </c>
    </row>
    <row r="283" spans="1:16" ht="14.25">
      <c r="A283" s="356">
        <v>2016</v>
      </c>
      <c r="B283" s="357" t="s">
        <v>476</v>
      </c>
      <c r="C283" s="357" t="s">
        <v>477</v>
      </c>
      <c r="D283" s="358">
        <v>1021011</v>
      </c>
      <c r="E283" s="358">
        <v>1</v>
      </c>
      <c r="F283" s="358"/>
      <c r="G283" s="358">
        <v>770</v>
      </c>
      <c r="H283" s="358" t="s">
        <v>225</v>
      </c>
      <c r="I283" s="358"/>
      <c r="J283" s="358" t="s">
        <v>212</v>
      </c>
      <c r="K283" s="359" t="b">
        <f t="shared" si="11"/>
        <v>1</v>
      </c>
      <c r="L283" s="359">
        <v>2</v>
      </c>
      <c r="M283" s="360">
        <v>2018</v>
      </c>
      <c r="N283" s="361">
        <v>0</v>
      </c>
      <c r="O283" s="362">
        <v>42642</v>
      </c>
      <c r="P283" s="362">
        <v>42642</v>
      </c>
    </row>
    <row r="284" spans="1:16" ht="14.25">
      <c r="A284" s="356">
        <v>2016</v>
      </c>
      <c r="B284" s="357" t="s">
        <v>476</v>
      </c>
      <c r="C284" s="357" t="s">
        <v>477</v>
      </c>
      <c r="D284" s="358">
        <v>1021011</v>
      </c>
      <c r="E284" s="358">
        <v>1</v>
      </c>
      <c r="F284" s="358"/>
      <c r="G284" s="358">
        <v>770</v>
      </c>
      <c r="H284" s="358" t="s">
        <v>225</v>
      </c>
      <c r="I284" s="358"/>
      <c r="J284" s="358" t="s">
        <v>212</v>
      </c>
      <c r="K284" s="359" t="b">
        <f t="shared" si="11"/>
        <v>1</v>
      </c>
      <c r="L284" s="359">
        <v>8</v>
      </c>
      <c r="M284" s="360">
        <v>2024</v>
      </c>
      <c r="N284" s="361">
        <v>0</v>
      </c>
      <c r="O284" s="362">
        <v>42642</v>
      </c>
      <c r="P284" s="362">
        <v>42642</v>
      </c>
    </row>
    <row r="285" spans="1:16" ht="14.25">
      <c r="A285" s="356">
        <v>2016</v>
      </c>
      <c r="B285" s="357" t="s">
        <v>476</v>
      </c>
      <c r="C285" s="357" t="s">
        <v>477</v>
      </c>
      <c r="D285" s="358">
        <v>1021011</v>
      </c>
      <c r="E285" s="358">
        <v>1</v>
      </c>
      <c r="F285" s="358"/>
      <c r="G285" s="358">
        <v>770</v>
      </c>
      <c r="H285" s="358" t="s">
        <v>225</v>
      </c>
      <c r="I285" s="358"/>
      <c r="J285" s="358" t="s">
        <v>212</v>
      </c>
      <c r="K285" s="359" t="b">
        <f t="shared" si="11"/>
        <v>1</v>
      </c>
      <c r="L285" s="359">
        <v>0</v>
      </c>
      <c r="M285" s="360">
        <v>2016</v>
      </c>
      <c r="N285" s="361">
        <v>0</v>
      </c>
      <c r="O285" s="362">
        <v>42642</v>
      </c>
      <c r="P285" s="362">
        <v>42642</v>
      </c>
    </row>
    <row r="286" spans="1:16" ht="14.25">
      <c r="A286" s="356">
        <v>2016</v>
      </c>
      <c r="B286" s="357" t="s">
        <v>476</v>
      </c>
      <c r="C286" s="357" t="s">
        <v>477</v>
      </c>
      <c r="D286" s="358">
        <v>1021011</v>
      </c>
      <c r="E286" s="358">
        <v>1</v>
      </c>
      <c r="F286" s="358"/>
      <c r="G286" s="358">
        <v>770</v>
      </c>
      <c r="H286" s="358" t="s">
        <v>225</v>
      </c>
      <c r="I286" s="358"/>
      <c r="J286" s="358" t="s">
        <v>212</v>
      </c>
      <c r="K286" s="359" t="b">
        <f t="shared" si="11"/>
        <v>1</v>
      </c>
      <c r="L286" s="359">
        <v>3</v>
      </c>
      <c r="M286" s="360">
        <v>2019</v>
      </c>
      <c r="N286" s="361">
        <v>0</v>
      </c>
      <c r="O286" s="362">
        <v>42642</v>
      </c>
      <c r="P286" s="362">
        <v>42642</v>
      </c>
    </row>
    <row r="287" spans="1:16" ht="14.25">
      <c r="A287" s="356">
        <v>2016</v>
      </c>
      <c r="B287" s="357" t="s">
        <v>476</v>
      </c>
      <c r="C287" s="357" t="s">
        <v>477</v>
      </c>
      <c r="D287" s="358">
        <v>1021011</v>
      </c>
      <c r="E287" s="358">
        <v>1</v>
      </c>
      <c r="F287" s="358"/>
      <c r="G287" s="358">
        <v>770</v>
      </c>
      <c r="H287" s="358" t="s">
        <v>225</v>
      </c>
      <c r="I287" s="358"/>
      <c r="J287" s="358" t="s">
        <v>212</v>
      </c>
      <c r="K287" s="359" t="b">
        <f t="shared" si="11"/>
        <v>1</v>
      </c>
      <c r="L287" s="359">
        <v>4</v>
      </c>
      <c r="M287" s="360">
        <v>2020</v>
      </c>
      <c r="N287" s="361">
        <v>0</v>
      </c>
      <c r="O287" s="362">
        <v>42642</v>
      </c>
      <c r="P287" s="362">
        <v>42642</v>
      </c>
    </row>
    <row r="288" spans="1:16" ht="14.25">
      <c r="A288" s="356">
        <v>2016</v>
      </c>
      <c r="B288" s="357" t="s">
        <v>476</v>
      </c>
      <c r="C288" s="357" t="s">
        <v>477</v>
      </c>
      <c r="D288" s="358">
        <v>1021011</v>
      </c>
      <c r="E288" s="358">
        <v>1</v>
      </c>
      <c r="F288" s="358"/>
      <c r="G288" s="358">
        <v>770</v>
      </c>
      <c r="H288" s="358" t="s">
        <v>225</v>
      </c>
      <c r="I288" s="358"/>
      <c r="J288" s="358" t="s">
        <v>212</v>
      </c>
      <c r="K288" s="359" t="b">
        <f t="shared" si="11"/>
        <v>1</v>
      </c>
      <c r="L288" s="359">
        <v>6</v>
      </c>
      <c r="M288" s="360">
        <v>2022</v>
      </c>
      <c r="N288" s="361">
        <v>0</v>
      </c>
      <c r="O288" s="362">
        <v>42642</v>
      </c>
      <c r="P288" s="362">
        <v>42642</v>
      </c>
    </row>
    <row r="289" spans="1:16" ht="14.25">
      <c r="A289" s="356">
        <v>2016</v>
      </c>
      <c r="B289" s="357" t="s">
        <v>476</v>
      </c>
      <c r="C289" s="357" t="s">
        <v>477</v>
      </c>
      <c r="D289" s="358">
        <v>1021011</v>
      </c>
      <c r="E289" s="358">
        <v>1</v>
      </c>
      <c r="F289" s="358"/>
      <c r="G289" s="358">
        <v>770</v>
      </c>
      <c r="H289" s="358" t="s">
        <v>225</v>
      </c>
      <c r="I289" s="358"/>
      <c r="J289" s="358" t="s">
        <v>212</v>
      </c>
      <c r="K289" s="359" t="b">
        <f t="shared" si="11"/>
        <v>1</v>
      </c>
      <c r="L289" s="359">
        <v>1</v>
      </c>
      <c r="M289" s="360">
        <v>2017</v>
      </c>
      <c r="N289" s="361">
        <v>0</v>
      </c>
      <c r="O289" s="362">
        <v>42642</v>
      </c>
      <c r="P289" s="362">
        <v>42642</v>
      </c>
    </row>
    <row r="290" spans="1:16" ht="14.25">
      <c r="A290" s="356">
        <v>2016</v>
      </c>
      <c r="B290" s="357" t="s">
        <v>476</v>
      </c>
      <c r="C290" s="357" t="s">
        <v>477</v>
      </c>
      <c r="D290" s="358">
        <v>1021011</v>
      </c>
      <c r="E290" s="358">
        <v>1</v>
      </c>
      <c r="F290" s="358"/>
      <c r="G290" s="358">
        <v>770</v>
      </c>
      <c r="H290" s="358" t="s">
        <v>225</v>
      </c>
      <c r="I290" s="358"/>
      <c r="J290" s="358" t="s">
        <v>212</v>
      </c>
      <c r="K290" s="359" t="b">
        <f t="shared" si="11"/>
        <v>1</v>
      </c>
      <c r="L290" s="359">
        <v>5</v>
      </c>
      <c r="M290" s="360">
        <v>2021</v>
      </c>
      <c r="N290" s="361">
        <v>0</v>
      </c>
      <c r="O290" s="362">
        <v>42642</v>
      </c>
      <c r="P290" s="362">
        <v>42642</v>
      </c>
    </row>
    <row r="291" spans="1:16" ht="14.25">
      <c r="A291" s="356">
        <v>2016</v>
      </c>
      <c r="B291" s="357" t="s">
        <v>476</v>
      </c>
      <c r="C291" s="357" t="s">
        <v>477</v>
      </c>
      <c r="D291" s="358">
        <v>1021011</v>
      </c>
      <c r="E291" s="358">
        <v>1</v>
      </c>
      <c r="F291" s="358"/>
      <c r="G291" s="358">
        <v>770</v>
      </c>
      <c r="H291" s="358" t="s">
        <v>225</v>
      </c>
      <c r="I291" s="358"/>
      <c r="J291" s="358" t="s">
        <v>212</v>
      </c>
      <c r="K291" s="359" t="b">
        <f t="shared" si="11"/>
        <v>1</v>
      </c>
      <c r="L291" s="359">
        <v>7</v>
      </c>
      <c r="M291" s="360">
        <v>2023</v>
      </c>
      <c r="N291" s="361">
        <v>0</v>
      </c>
      <c r="O291" s="362">
        <v>42642</v>
      </c>
      <c r="P291" s="362">
        <v>42642</v>
      </c>
    </row>
    <row r="292" spans="1:16" ht="14.25">
      <c r="A292" s="356">
        <v>2016</v>
      </c>
      <c r="B292" s="357" t="s">
        <v>476</v>
      </c>
      <c r="C292" s="357" t="s">
        <v>477</v>
      </c>
      <c r="D292" s="358">
        <v>1021011</v>
      </c>
      <c r="E292" s="358">
        <v>1</v>
      </c>
      <c r="F292" s="358"/>
      <c r="G292" s="358">
        <v>210</v>
      </c>
      <c r="H292" s="358">
        <v>4</v>
      </c>
      <c r="I292" s="358" t="s">
        <v>428</v>
      </c>
      <c r="J292" s="358" t="s">
        <v>69</v>
      </c>
      <c r="K292" s="359" t="b">
        <f aca="true" t="shared" si="12" ref="K292:K300">FALSE</f>
        <v>0</v>
      </c>
      <c r="L292" s="359">
        <v>6</v>
      </c>
      <c r="M292" s="360">
        <v>2022</v>
      </c>
      <c r="N292" s="361">
        <v>0</v>
      </c>
      <c r="O292" s="362">
        <v>42642</v>
      </c>
      <c r="P292" s="362">
        <v>42642</v>
      </c>
    </row>
    <row r="293" spans="1:16" ht="14.25">
      <c r="A293" s="356">
        <v>2016</v>
      </c>
      <c r="B293" s="357" t="s">
        <v>476</v>
      </c>
      <c r="C293" s="357" t="s">
        <v>477</v>
      </c>
      <c r="D293" s="358">
        <v>1021011</v>
      </c>
      <c r="E293" s="358">
        <v>1</v>
      </c>
      <c r="F293" s="358"/>
      <c r="G293" s="358">
        <v>210</v>
      </c>
      <c r="H293" s="358">
        <v>4</v>
      </c>
      <c r="I293" s="358" t="s">
        <v>428</v>
      </c>
      <c r="J293" s="358" t="s">
        <v>69</v>
      </c>
      <c r="K293" s="359" t="b">
        <f t="shared" si="12"/>
        <v>0</v>
      </c>
      <c r="L293" s="359">
        <v>7</v>
      </c>
      <c r="M293" s="360">
        <v>2023</v>
      </c>
      <c r="N293" s="361">
        <v>0</v>
      </c>
      <c r="O293" s="362">
        <v>42642</v>
      </c>
      <c r="P293" s="362">
        <v>42642</v>
      </c>
    </row>
    <row r="294" spans="1:16" ht="14.25">
      <c r="A294" s="356">
        <v>2016</v>
      </c>
      <c r="B294" s="357" t="s">
        <v>476</v>
      </c>
      <c r="C294" s="357" t="s">
        <v>477</v>
      </c>
      <c r="D294" s="358">
        <v>1021011</v>
      </c>
      <c r="E294" s="358">
        <v>1</v>
      </c>
      <c r="F294" s="358"/>
      <c r="G294" s="358">
        <v>210</v>
      </c>
      <c r="H294" s="358">
        <v>4</v>
      </c>
      <c r="I294" s="358" t="s">
        <v>428</v>
      </c>
      <c r="J294" s="358" t="s">
        <v>69</v>
      </c>
      <c r="K294" s="359" t="b">
        <f t="shared" si="12"/>
        <v>0</v>
      </c>
      <c r="L294" s="359">
        <v>8</v>
      </c>
      <c r="M294" s="360">
        <v>2024</v>
      </c>
      <c r="N294" s="361">
        <v>0</v>
      </c>
      <c r="O294" s="362">
        <v>42642</v>
      </c>
      <c r="P294" s="362">
        <v>42642</v>
      </c>
    </row>
    <row r="295" spans="1:16" ht="14.25">
      <c r="A295" s="356">
        <v>2016</v>
      </c>
      <c r="B295" s="357" t="s">
        <v>476</v>
      </c>
      <c r="C295" s="357" t="s">
        <v>477</v>
      </c>
      <c r="D295" s="358">
        <v>1021011</v>
      </c>
      <c r="E295" s="358">
        <v>1</v>
      </c>
      <c r="F295" s="358"/>
      <c r="G295" s="358">
        <v>210</v>
      </c>
      <c r="H295" s="358">
        <v>4</v>
      </c>
      <c r="I295" s="358" t="s">
        <v>428</v>
      </c>
      <c r="J295" s="358" t="s">
        <v>69</v>
      </c>
      <c r="K295" s="359" t="b">
        <f t="shared" si="12"/>
        <v>0</v>
      </c>
      <c r="L295" s="359">
        <v>1</v>
      </c>
      <c r="M295" s="360">
        <v>2017</v>
      </c>
      <c r="N295" s="361">
        <v>0</v>
      </c>
      <c r="O295" s="362">
        <v>42642</v>
      </c>
      <c r="P295" s="362">
        <v>42642</v>
      </c>
    </row>
    <row r="296" spans="1:16" ht="14.25">
      <c r="A296" s="356">
        <v>2016</v>
      </c>
      <c r="B296" s="357" t="s">
        <v>476</v>
      </c>
      <c r="C296" s="357" t="s">
        <v>477</v>
      </c>
      <c r="D296" s="358">
        <v>1021011</v>
      </c>
      <c r="E296" s="358">
        <v>1</v>
      </c>
      <c r="F296" s="358"/>
      <c r="G296" s="358">
        <v>210</v>
      </c>
      <c r="H296" s="358">
        <v>4</v>
      </c>
      <c r="I296" s="358" t="s">
        <v>428</v>
      </c>
      <c r="J296" s="358" t="s">
        <v>69</v>
      </c>
      <c r="K296" s="359" t="b">
        <f t="shared" si="12"/>
        <v>0</v>
      </c>
      <c r="L296" s="359">
        <v>0</v>
      </c>
      <c r="M296" s="360">
        <v>2016</v>
      </c>
      <c r="N296" s="361">
        <v>3219600.38</v>
      </c>
      <c r="O296" s="362">
        <v>42642</v>
      </c>
      <c r="P296" s="362">
        <v>42642</v>
      </c>
    </row>
    <row r="297" spans="1:16" ht="14.25">
      <c r="A297" s="356">
        <v>2016</v>
      </c>
      <c r="B297" s="357" t="s">
        <v>476</v>
      </c>
      <c r="C297" s="357" t="s">
        <v>477</v>
      </c>
      <c r="D297" s="358">
        <v>1021011</v>
      </c>
      <c r="E297" s="358">
        <v>1</v>
      </c>
      <c r="F297" s="358"/>
      <c r="G297" s="358">
        <v>210</v>
      </c>
      <c r="H297" s="358">
        <v>4</v>
      </c>
      <c r="I297" s="358" t="s">
        <v>428</v>
      </c>
      <c r="J297" s="358" t="s">
        <v>69</v>
      </c>
      <c r="K297" s="359" t="b">
        <f t="shared" si="12"/>
        <v>0</v>
      </c>
      <c r="L297" s="359">
        <v>4</v>
      </c>
      <c r="M297" s="360">
        <v>2020</v>
      </c>
      <c r="N297" s="361">
        <v>0</v>
      </c>
      <c r="O297" s="362">
        <v>42642</v>
      </c>
      <c r="P297" s="362">
        <v>42642</v>
      </c>
    </row>
    <row r="298" spans="1:16" ht="14.25">
      <c r="A298" s="356">
        <v>2016</v>
      </c>
      <c r="B298" s="357" t="s">
        <v>476</v>
      </c>
      <c r="C298" s="357" t="s">
        <v>477</v>
      </c>
      <c r="D298" s="358">
        <v>1021011</v>
      </c>
      <c r="E298" s="358">
        <v>1</v>
      </c>
      <c r="F298" s="358"/>
      <c r="G298" s="358">
        <v>210</v>
      </c>
      <c r="H298" s="358">
        <v>4</v>
      </c>
      <c r="I298" s="358" t="s">
        <v>428</v>
      </c>
      <c r="J298" s="358" t="s">
        <v>69</v>
      </c>
      <c r="K298" s="359" t="b">
        <f t="shared" si="12"/>
        <v>0</v>
      </c>
      <c r="L298" s="359">
        <v>2</v>
      </c>
      <c r="M298" s="360">
        <v>2018</v>
      </c>
      <c r="N298" s="361">
        <v>0</v>
      </c>
      <c r="O298" s="362">
        <v>42642</v>
      </c>
      <c r="P298" s="362">
        <v>42642</v>
      </c>
    </row>
    <row r="299" spans="1:16" ht="14.25">
      <c r="A299" s="356">
        <v>2016</v>
      </c>
      <c r="B299" s="357" t="s">
        <v>476</v>
      </c>
      <c r="C299" s="357" t="s">
        <v>477</v>
      </c>
      <c r="D299" s="358">
        <v>1021011</v>
      </c>
      <c r="E299" s="358">
        <v>1</v>
      </c>
      <c r="F299" s="358"/>
      <c r="G299" s="358">
        <v>210</v>
      </c>
      <c r="H299" s="358">
        <v>4</v>
      </c>
      <c r="I299" s="358" t="s">
        <v>428</v>
      </c>
      <c r="J299" s="358" t="s">
        <v>69</v>
      </c>
      <c r="K299" s="359" t="b">
        <f t="shared" si="12"/>
        <v>0</v>
      </c>
      <c r="L299" s="359">
        <v>5</v>
      </c>
      <c r="M299" s="360">
        <v>2021</v>
      </c>
      <c r="N299" s="361">
        <v>0</v>
      </c>
      <c r="O299" s="362">
        <v>42642</v>
      </c>
      <c r="P299" s="362">
        <v>42642</v>
      </c>
    </row>
    <row r="300" spans="1:16" ht="14.25">
      <c r="A300" s="356">
        <v>2016</v>
      </c>
      <c r="B300" s="357" t="s">
        <v>476</v>
      </c>
      <c r="C300" s="357" t="s">
        <v>477</v>
      </c>
      <c r="D300" s="358">
        <v>1021011</v>
      </c>
      <c r="E300" s="358">
        <v>1</v>
      </c>
      <c r="F300" s="358"/>
      <c r="G300" s="358">
        <v>210</v>
      </c>
      <c r="H300" s="358">
        <v>4</v>
      </c>
      <c r="I300" s="358" t="s">
        <v>428</v>
      </c>
      <c r="J300" s="358" t="s">
        <v>69</v>
      </c>
      <c r="K300" s="359" t="b">
        <f t="shared" si="12"/>
        <v>0</v>
      </c>
      <c r="L300" s="359">
        <v>3</v>
      </c>
      <c r="M300" s="360">
        <v>2019</v>
      </c>
      <c r="N300" s="361">
        <v>0</v>
      </c>
      <c r="O300" s="362">
        <v>42642</v>
      </c>
      <c r="P300" s="362">
        <v>42642</v>
      </c>
    </row>
    <row r="301" spans="1:16" ht="14.25">
      <c r="A301" s="356">
        <v>2016</v>
      </c>
      <c r="B301" s="357" t="s">
        <v>476</v>
      </c>
      <c r="C301" s="357" t="s">
        <v>477</v>
      </c>
      <c r="D301" s="358">
        <v>1021011</v>
      </c>
      <c r="E301" s="358">
        <v>1</v>
      </c>
      <c r="F301" s="358"/>
      <c r="G301" s="358">
        <v>160</v>
      </c>
      <c r="H301" s="358" t="s">
        <v>50</v>
      </c>
      <c r="I301" s="358"/>
      <c r="J301" s="358" t="s">
        <v>51</v>
      </c>
      <c r="K301" s="359" t="b">
        <f aca="true" t="shared" si="13" ref="K301:K309">TRUE</f>
        <v>1</v>
      </c>
      <c r="L301" s="359">
        <v>4</v>
      </c>
      <c r="M301" s="360">
        <v>2020</v>
      </c>
      <c r="N301" s="361">
        <v>0</v>
      </c>
      <c r="O301" s="362">
        <v>42642</v>
      </c>
      <c r="P301" s="362">
        <v>42642</v>
      </c>
    </row>
    <row r="302" spans="1:16" ht="14.25">
      <c r="A302" s="356">
        <v>2016</v>
      </c>
      <c r="B302" s="357" t="s">
        <v>476</v>
      </c>
      <c r="C302" s="357" t="s">
        <v>477</v>
      </c>
      <c r="D302" s="358">
        <v>1021011</v>
      </c>
      <c r="E302" s="358">
        <v>1</v>
      </c>
      <c r="F302" s="358"/>
      <c r="G302" s="358">
        <v>160</v>
      </c>
      <c r="H302" s="358" t="s">
        <v>50</v>
      </c>
      <c r="I302" s="358"/>
      <c r="J302" s="358" t="s">
        <v>51</v>
      </c>
      <c r="K302" s="359" t="b">
        <f t="shared" si="13"/>
        <v>1</v>
      </c>
      <c r="L302" s="359">
        <v>3</v>
      </c>
      <c r="M302" s="360">
        <v>2019</v>
      </c>
      <c r="N302" s="361">
        <v>0</v>
      </c>
      <c r="O302" s="362">
        <v>42642</v>
      </c>
      <c r="P302" s="362">
        <v>42642</v>
      </c>
    </row>
    <row r="303" spans="1:16" ht="14.25">
      <c r="A303" s="356">
        <v>2016</v>
      </c>
      <c r="B303" s="357" t="s">
        <v>476</v>
      </c>
      <c r="C303" s="357" t="s">
        <v>477</v>
      </c>
      <c r="D303" s="358">
        <v>1021011</v>
      </c>
      <c r="E303" s="358">
        <v>1</v>
      </c>
      <c r="F303" s="358"/>
      <c r="G303" s="358">
        <v>160</v>
      </c>
      <c r="H303" s="358" t="s">
        <v>50</v>
      </c>
      <c r="I303" s="358"/>
      <c r="J303" s="358" t="s">
        <v>51</v>
      </c>
      <c r="K303" s="359" t="b">
        <f t="shared" si="13"/>
        <v>1</v>
      </c>
      <c r="L303" s="359">
        <v>1</v>
      </c>
      <c r="M303" s="360">
        <v>2017</v>
      </c>
      <c r="N303" s="361">
        <v>0</v>
      </c>
      <c r="O303" s="362">
        <v>42642</v>
      </c>
      <c r="P303" s="362">
        <v>42642</v>
      </c>
    </row>
    <row r="304" spans="1:16" ht="14.25">
      <c r="A304" s="356">
        <v>2016</v>
      </c>
      <c r="B304" s="357" t="s">
        <v>476</v>
      </c>
      <c r="C304" s="357" t="s">
        <v>477</v>
      </c>
      <c r="D304" s="358">
        <v>1021011</v>
      </c>
      <c r="E304" s="358">
        <v>1</v>
      </c>
      <c r="F304" s="358"/>
      <c r="G304" s="358">
        <v>160</v>
      </c>
      <c r="H304" s="358" t="s">
        <v>50</v>
      </c>
      <c r="I304" s="358"/>
      <c r="J304" s="358" t="s">
        <v>51</v>
      </c>
      <c r="K304" s="359" t="b">
        <f t="shared" si="13"/>
        <v>1</v>
      </c>
      <c r="L304" s="359">
        <v>7</v>
      </c>
      <c r="M304" s="360">
        <v>2023</v>
      </c>
      <c r="N304" s="361">
        <v>0</v>
      </c>
      <c r="O304" s="362">
        <v>42642</v>
      </c>
      <c r="P304" s="362">
        <v>42642</v>
      </c>
    </row>
    <row r="305" spans="1:16" ht="14.25">
      <c r="A305" s="356">
        <v>2016</v>
      </c>
      <c r="B305" s="357" t="s">
        <v>476</v>
      </c>
      <c r="C305" s="357" t="s">
        <v>477</v>
      </c>
      <c r="D305" s="358">
        <v>1021011</v>
      </c>
      <c r="E305" s="358">
        <v>1</v>
      </c>
      <c r="F305" s="358"/>
      <c r="G305" s="358">
        <v>160</v>
      </c>
      <c r="H305" s="358" t="s">
        <v>50</v>
      </c>
      <c r="I305" s="358"/>
      <c r="J305" s="358" t="s">
        <v>51</v>
      </c>
      <c r="K305" s="359" t="b">
        <f t="shared" si="13"/>
        <v>1</v>
      </c>
      <c r="L305" s="359">
        <v>8</v>
      </c>
      <c r="M305" s="360">
        <v>2024</v>
      </c>
      <c r="N305" s="361">
        <v>0</v>
      </c>
      <c r="O305" s="362">
        <v>42642</v>
      </c>
      <c r="P305" s="362">
        <v>42642</v>
      </c>
    </row>
    <row r="306" spans="1:16" ht="14.25">
      <c r="A306" s="356">
        <v>2016</v>
      </c>
      <c r="B306" s="357" t="s">
        <v>476</v>
      </c>
      <c r="C306" s="357" t="s">
        <v>477</v>
      </c>
      <c r="D306" s="358">
        <v>1021011</v>
      </c>
      <c r="E306" s="358">
        <v>1</v>
      </c>
      <c r="F306" s="358"/>
      <c r="G306" s="358">
        <v>160</v>
      </c>
      <c r="H306" s="358" t="s">
        <v>50</v>
      </c>
      <c r="I306" s="358"/>
      <c r="J306" s="358" t="s">
        <v>51</v>
      </c>
      <c r="K306" s="359" t="b">
        <f t="shared" si="13"/>
        <v>1</v>
      </c>
      <c r="L306" s="359">
        <v>5</v>
      </c>
      <c r="M306" s="360">
        <v>2021</v>
      </c>
      <c r="N306" s="361">
        <v>0</v>
      </c>
      <c r="O306" s="362">
        <v>42642</v>
      </c>
      <c r="P306" s="362">
        <v>42642</v>
      </c>
    </row>
    <row r="307" spans="1:16" ht="14.25">
      <c r="A307" s="356">
        <v>2016</v>
      </c>
      <c r="B307" s="357" t="s">
        <v>476</v>
      </c>
      <c r="C307" s="357" t="s">
        <v>477</v>
      </c>
      <c r="D307" s="358">
        <v>1021011</v>
      </c>
      <c r="E307" s="358">
        <v>1</v>
      </c>
      <c r="F307" s="358"/>
      <c r="G307" s="358">
        <v>160</v>
      </c>
      <c r="H307" s="358" t="s">
        <v>50</v>
      </c>
      <c r="I307" s="358"/>
      <c r="J307" s="358" t="s">
        <v>51</v>
      </c>
      <c r="K307" s="359" t="b">
        <f t="shared" si="13"/>
        <v>1</v>
      </c>
      <c r="L307" s="359">
        <v>2</v>
      </c>
      <c r="M307" s="360">
        <v>2018</v>
      </c>
      <c r="N307" s="361">
        <v>0</v>
      </c>
      <c r="O307" s="362">
        <v>42642</v>
      </c>
      <c r="P307" s="362">
        <v>42642</v>
      </c>
    </row>
    <row r="308" spans="1:16" ht="14.25">
      <c r="A308" s="356">
        <v>2016</v>
      </c>
      <c r="B308" s="357" t="s">
        <v>476</v>
      </c>
      <c r="C308" s="357" t="s">
        <v>477</v>
      </c>
      <c r="D308" s="358">
        <v>1021011</v>
      </c>
      <c r="E308" s="358">
        <v>1</v>
      </c>
      <c r="F308" s="358"/>
      <c r="G308" s="358">
        <v>160</v>
      </c>
      <c r="H308" s="358" t="s">
        <v>50</v>
      </c>
      <c r="I308" s="358"/>
      <c r="J308" s="358" t="s">
        <v>51</v>
      </c>
      <c r="K308" s="359" t="b">
        <f t="shared" si="13"/>
        <v>1</v>
      </c>
      <c r="L308" s="359">
        <v>6</v>
      </c>
      <c r="M308" s="360">
        <v>2022</v>
      </c>
      <c r="N308" s="361">
        <v>0</v>
      </c>
      <c r="O308" s="362">
        <v>42642</v>
      </c>
      <c r="P308" s="362">
        <v>42642</v>
      </c>
    </row>
    <row r="309" spans="1:16" ht="14.25">
      <c r="A309" s="356">
        <v>2016</v>
      </c>
      <c r="B309" s="357" t="s">
        <v>476</v>
      </c>
      <c r="C309" s="357" t="s">
        <v>477</v>
      </c>
      <c r="D309" s="358">
        <v>1021011</v>
      </c>
      <c r="E309" s="358">
        <v>1</v>
      </c>
      <c r="F309" s="358"/>
      <c r="G309" s="358">
        <v>160</v>
      </c>
      <c r="H309" s="358" t="s">
        <v>50</v>
      </c>
      <c r="I309" s="358"/>
      <c r="J309" s="358" t="s">
        <v>51</v>
      </c>
      <c r="K309" s="359" t="b">
        <f t="shared" si="13"/>
        <v>1</v>
      </c>
      <c r="L309" s="359">
        <v>0</v>
      </c>
      <c r="M309" s="360">
        <v>2016</v>
      </c>
      <c r="N309" s="361">
        <v>0</v>
      </c>
      <c r="O309" s="362">
        <v>42642</v>
      </c>
      <c r="P309" s="362">
        <v>42642</v>
      </c>
    </row>
    <row r="310" spans="1:16" ht="14.25">
      <c r="A310" s="356">
        <v>2016</v>
      </c>
      <c r="B310" s="357" t="s">
        <v>476</v>
      </c>
      <c r="C310" s="357" t="s">
        <v>477</v>
      </c>
      <c r="D310" s="358">
        <v>1021011</v>
      </c>
      <c r="E310" s="358">
        <v>1</v>
      </c>
      <c r="F310" s="358"/>
      <c r="G310" s="358">
        <v>580</v>
      </c>
      <c r="H310" s="358">
        <v>11.1</v>
      </c>
      <c r="I310" s="358"/>
      <c r="J310" s="358" t="s">
        <v>149</v>
      </c>
      <c r="K310" s="359" t="b">
        <f aca="true" t="shared" si="14" ref="K310:K336">FALSE</f>
        <v>0</v>
      </c>
      <c r="L310" s="359">
        <v>3</v>
      </c>
      <c r="M310" s="360">
        <v>2019</v>
      </c>
      <c r="N310" s="361">
        <v>15600000</v>
      </c>
      <c r="O310" s="362">
        <v>42642</v>
      </c>
      <c r="P310" s="362">
        <v>42642</v>
      </c>
    </row>
    <row r="311" spans="1:16" ht="14.25">
      <c r="A311" s="356">
        <v>2016</v>
      </c>
      <c r="B311" s="357" t="s">
        <v>476</v>
      </c>
      <c r="C311" s="357" t="s">
        <v>477</v>
      </c>
      <c r="D311" s="358">
        <v>1021011</v>
      </c>
      <c r="E311" s="358">
        <v>1</v>
      </c>
      <c r="F311" s="358"/>
      <c r="G311" s="358">
        <v>580</v>
      </c>
      <c r="H311" s="358">
        <v>11.1</v>
      </c>
      <c r="I311" s="358"/>
      <c r="J311" s="358" t="s">
        <v>149</v>
      </c>
      <c r="K311" s="359" t="b">
        <f t="shared" si="14"/>
        <v>0</v>
      </c>
      <c r="L311" s="359">
        <v>5</v>
      </c>
      <c r="M311" s="360">
        <v>2021</v>
      </c>
      <c r="N311" s="361">
        <v>0</v>
      </c>
      <c r="O311" s="362">
        <v>42642</v>
      </c>
      <c r="P311" s="362">
        <v>42642</v>
      </c>
    </row>
    <row r="312" spans="1:16" ht="14.25">
      <c r="A312" s="356">
        <v>2016</v>
      </c>
      <c r="B312" s="357" t="s">
        <v>476</v>
      </c>
      <c r="C312" s="357" t="s">
        <v>477</v>
      </c>
      <c r="D312" s="358">
        <v>1021011</v>
      </c>
      <c r="E312" s="358">
        <v>1</v>
      </c>
      <c r="F312" s="358"/>
      <c r="G312" s="358">
        <v>580</v>
      </c>
      <c r="H312" s="358">
        <v>11.1</v>
      </c>
      <c r="I312" s="358"/>
      <c r="J312" s="358" t="s">
        <v>149</v>
      </c>
      <c r="K312" s="359" t="b">
        <f t="shared" si="14"/>
        <v>0</v>
      </c>
      <c r="L312" s="359">
        <v>7</v>
      </c>
      <c r="M312" s="360">
        <v>2023</v>
      </c>
      <c r="N312" s="361">
        <v>0</v>
      </c>
      <c r="O312" s="362">
        <v>42642</v>
      </c>
      <c r="P312" s="362">
        <v>42642</v>
      </c>
    </row>
    <row r="313" spans="1:16" ht="14.25">
      <c r="A313" s="356">
        <v>2016</v>
      </c>
      <c r="B313" s="357" t="s">
        <v>476</v>
      </c>
      <c r="C313" s="357" t="s">
        <v>477</v>
      </c>
      <c r="D313" s="358">
        <v>1021011</v>
      </c>
      <c r="E313" s="358">
        <v>1</v>
      </c>
      <c r="F313" s="358"/>
      <c r="G313" s="358">
        <v>580</v>
      </c>
      <c r="H313" s="358">
        <v>11.1</v>
      </c>
      <c r="I313" s="358"/>
      <c r="J313" s="358" t="s">
        <v>149</v>
      </c>
      <c r="K313" s="359" t="b">
        <f t="shared" si="14"/>
        <v>0</v>
      </c>
      <c r="L313" s="359">
        <v>0</v>
      </c>
      <c r="M313" s="360">
        <v>2016</v>
      </c>
      <c r="N313" s="361">
        <v>15060052.22</v>
      </c>
      <c r="O313" s="362">
        <v>42642</v>
      </c>
      <c r="P313" s="362">
        <v>42642</v>
      </c>
    </row>
    <row r="314" spans="1:16" ht="14.25">
      <c r="A314" s="356">
        <v>2016</v>
      </c>
      <c r="B314" s="357" t="s">
        <v>476</v>
      </c>
      <c r="C314" s="357" t="s">
        <v>477</v>
      </c>
      <c r="D314" s="358">
        <v>1021011</v>
      </c>
      <c r="E314" s="358">
        <v>1</v>
      </c>
      <c r="F314" s="358"/>
      <c r="G314" s="358">
        <v>580</v>
      </c>
      <c r="H314" s="358">
        <v>11.1</v>
      </c>
      <c r="I314" s="358"/>
      <c r="J314" s="358" t="s">
        <v>149</v>
      </c>
      <c r="K314" s="359" t="b">
        <f t="shared" si="14"/>
        <v>0</v>
      </c>
      <c r="L314" s="359">
        <v>4</v>
      </c>
      <c r="M314" s="360">
        <v>2020</v>
      </c>
      <c r="N314" s="361">
        <v>0</v>
      </c>
      <c r="O314" s="362">
        <v>42642</v>
      </c>
      <c r="P314" s="362">
        <v>42642</v>
      </c>
    </row>
    <row r="315" spans="1:16" ht="14.25">
      <c r="A315" s="356">
        <v>2016</v>
      </c>
      <c r="B315" s="357" t="s">
        <v>476</v>
      </c>
      <c r="C315" s="357" t="s">
        <v>477</v>
      </c>
      <c r="D315" s="358">
        <v>1021011</v>
      </c>
      <c r="E315" s="358">
        <v>1</v>
      </c>
      <c r="F315" s="358"/>
      <c r="G315" s="358">
        <v>580</v>
      </c>
      <c r="H315" s="358">
        <v>11.1</v>
      </c>
      <c r="I315" s="358"/>
      <c r="J315" s="358" t="s">
        <v>149</v>
      </c>
      <c r="K315" s="359" t="b">
        <f t="shared" si="14"/>
        <v>0</v>
      </c>
      <c r="L315" s="359">
        <v>8</v>
      </c>
      <c r="M315" s="360">
        <v>2024</v>
      </c>
      <c r="N315" s="361">
        <v>0</v>
      </c>
      <c r="O315" s="362">
        <v>42642</v>
      </c>
      <c r="P315" s="362">
        <v>42642</v>
      </c>
    </row>
    <row r="316" spans="1:16" ht="14.25">
      <c r="A316" s="356">
        <v>2016</v>
      </c>
      <c r="B316" s="357" t="s">
        <v>476</v>
      </c>
      <c r="C316" s="357" t="s">
        <v>477</v>
      </c>
      <c r="D316" s="358">
        <v>1021011</v>
      </c>
      <c r="E316" s="358">
        <v>1</v>
      </c>
      <c r="F316" s="358"/>
      <c r="G316" s="358">
        <v>580</v>
      </c>
      <c r="H316" s="358">
        <v>11.1</v>
      </c>
      <c r="I316" s="358"/>
      <c r="J316" s="358" t="s">
        <v>149</v>
      </c>
      <c r="K316" s="359" t="b">
        <f t="shared" si="14"/>
        <v>0</v>
      </c>
      <c r="L316" s="359">
        <v>1</v>
      </c>
      <c r="M316" s="360">
        <v>2017</v>
      </c>
      <c r="N316" s="361">
        <v>15000000</v>
      </c>
      <c r="O316" s="362">
        <v>42642</v>
      </c>
      <c r="P316" s="362">
        <v>42642</v>
      </c>
    </row>
    <row r="317" spans="1:16" ht="14.25">
      <c r="A317" s="356">
        <v>2016</v>
      </c>
      <c r="B317" s="357" t="s">
        <v>476</v>
      </c>
      <c r="C317" s="357" t="s">
        <v>477</v>
      </c>
      <c r="D317" s="358">
        <v>1021011</v>
      </c>
      <c r="E317" s="358">
        <v>1</v>
      </c>
      <c r="F317" s="358"/>
      <c r="G317" s="358">
        <v>580</v>
      </c>
      <c r="H317" s="358">
        <v>11.1</v>
      </c>
      <c r="I317" s="358"/>
      <c r="J317" s="358" t="s">
        <v>149</v>
      </c>
      <c r="K317" s="359" t="b">
        <f t="shared" si="14"/>
        <v>0</v>
      </c>
      <c r="L317" s="359">
        <v>6</v>
      </c>
      <c r="M317" s="360">
        <v>2022</v>
      </c>
      <c r="N317" s="361">
        <v>0</v>
      </c>
      <c r="O317" s="362">
        <v>42642</v>
      </c>
      <c r="P317" s="362">
        <v>42642</v>
      </c>
    </row>
    <row r="318" spans="1:16" ht="14.25">
      <c r="A318" s="356">
        <v>2016</v>
      </c>
      <c r="B318" s="357" t="s">
        <v>476</v>
      </c>
      <c r="C318" s="357" t="s">
        <v>477</v>
      </c>
      <c r="D318" s="358">
        <v>1021011</v>
      </c>
      <c r="E318" s="358">
        <v>1</v>
      </c>
      <c r="F318" s="358"/>
      <c r="G318" s="358">
        <v>580</v>
      </c>
      <c r="H318" s="358">
        <v>11.1</v>
      </c>
      <c r="I318" s="358"/>
      <c r="J318" s="358" t="s">
        <v>149</v>
      </c>
      <c r="K318" s="359" t="b">
        <f t="shared" si="14"/>
        <v>0</v>
      </c>
      <c r="L318" s="359">
        <v>2</v>
      </c>
      <c r="M318" s="360">
        <v>2018</v>
      </c>
      <c r="N318" s="361">
        <v>15300000</v>
      </c>
      <c r="O318" s="362">
        <v>42642</v>
      </c>
      <c r="P318" s="362">
        <v>42642</v>
      </c>
    </row>
    <row r="319" spans="1:16" ht="14.25">
      <c r="A319" s="356">
        <v>2016</v>
      </c>
      <c r="B319" s="357" t="s">
        <v>476</v>
      </c>
      <c r="C319" s="357" t="s">
        <v>477</v>
      </c>
      <c r="D319" s="358">
        <v>1021011</v>
      </c>
      <c r="E319" s="358">
        <v>1</v>
      </c>
      <c r="F319" s="358"/>
      <c r="G319" s="358">
        <v>500</v>
      </c>
      <c r="H319" s="358">
        <v>9.4</v>
      </c>
      <c r="I319" s="358" t="s">
        <v>435</v>
      </c>
      <c r="J319" s="358" t="s">
        <v>448</v>
      </c>
      <c r="K319" s="359" t="b">
        <f t="shared" si="14"/>
        <v>0</v>
      </c>
      <c r="L319" s="359">
        <v>8</v>
      </c>
      <c r="M319" s="360">
        <v>2024</v>
      </c>
      <c r="N319" s="361">
        <v>0.0496</v>
      </c>
      <c r="O319" s="362">
        <v>42642</v>
      </c>
      <c r="P319" s="362">
        <v>42642</v>
      </c>
    </row>
    <row r="320" spans="1:16" ht="14.25">
      <c r="A320" s="356">
        <v>2016</v>
      </c>
      <c r="B320" s="357" t="s">
        <v>476</v>
      </c>
      <c r="C320" s="357" t="s">
        <v>477</v>
      </c>
      <c r="D320" s="358">
        <v>1021011</v>
      </c>
      <c r="E320" s="358">
        <v>1</v>
      </c>
      <c r="F320" s="358"/>
      <c r="G320" s="358">
        <v>500</v>
      </c>
      <c r="H320" s="358">
        <v>9.4</v>
      </c>
      <c r="I320" s="358" t="s">
        <v>435</v>
      </c>
      <c r="J320" s="358" t="s">
        <v>448</v>
      </c>
      <c r="K320" s="359" t="b">
        <f t="shared" si="14"/>
        <v>0</v>
      </c>
      <c r="L320" s="359">
        <v>1</v>
      </c>
      <c r="M320" s="360">
        <v>2017</v>
      </c>
      <c r="N320" s="361">
        <v>0.0532</v>
      </c>
      <c r="O320" s="362">
        <v>42642</v>
      </c>
      <c r="P320" s="362">
        <v>42642</v>
      </c>
    </row>
    <row r="321" spans="1:16" ht="14.25">
      <c r="A321" s="356">
        <v>2016</v>
      </c>
      <c r="B321" s="357" t="s">
        <v>476</v>
      </c>
      <c r="C321" s="357" t="s">
        <v>477</v>
      </c>
      <c r="D321" s="358">
        <v>1021011</v>
      </c>
      <c r="E321" s="358">
        <v>1</v>
      </c>
      <c r="F321" s="358"/>
      <c r="G321" s="358">
        <v>500</v>
      </c>
      <c r="H321" s="358">
        <v>9.4</v>
      </c>
      <c r="I321" s="358" t="s">
        <v>435</v>
      </c>
      <c r="J321" s="358" t="s">
        <v>448</v>
      </c>
      <c r="K321" s="359" t="b">
        <f t="shared" si="14"/>
        <v>0</v>
      </c>
      <c r="L321" s="359">
        <v>0</v>
      </c>
      <c r="M321" s="360">
        <v>2016</v>
      </c>
      <c r="N321" s="361">
        <v>0.0424</v>
      </c>
      <c r="O321" s="362">
        <v>42642</v>
      </c>
      <c r="P321" s="362">
        <v>42642</v>
      </c>
    </row>
    <row r="322" spans="1:16" ht="14.25">
      <c r="A322" s="356">
        <v>2016</v>
      </c>
      <c r="B322" s="357" t="s">
        <v>476</v>
      </c>
      <c r="C322" s="357" t="s">
        <v>477</v>
      </c>
      <c r="D322" s="358">
        <v>1021011</v>
      </c>
      <c r="E322" s="358">
        <v>1</v>
      </c>
      <c r="F322" s="358"/>
      <c r="G322" s="358">
        <v>500</v>
      </c>
      <c r="H322" s="358">
        <v>9.4</v>
      </c>
      <c r="I322" s="358" t="s">
        <v>435</v>
      </c>
      <c r="J322" s="358" t="s">
        <v>448</v>
      </c>
      <c r="K322" s="359" t="b">
        <f t="shared" si="14"/>
        <v>0</v>
      </c>
      <c r="L322" s="359">
        <v>4</v>
      </c>
      <c r="M322" s="360">
        <v>2020</v>
      </c>
      <c r="N322" s="361">
        <v>0.0661</v>
      </c>
      <c r="O322" s="362">
        <v>42642</v>
      </c>
      <c r="P322" s="362">
        <v>42642</v>
      </c>
    </row>
    <row r="323" spans="1:16" ht="14.25">
      <c r="A323" s="356">
        <v>2016</v>
      </c>
      <c r="B323" s="357" t="s">
        <v>476</v>
      </c>
      <c r="C323" s="357" t="s">
        <v>477</v>
      </c>
      <c r="D323" s="358">
        <v>1021011</v>
      </c>
      <c r="E323" s="358">
        <v>1</v>
      </c>
      <c r="F323" s="358"/>
      <c r="G323" s="358">
        <v>500</v>
      </c>
      <c r="H323" s="358">
        <v>9.4</v>
      </c>
      <c r="I323" s="358" t="s">
        <v>435</v>
      </c>
      <c r="J323" s="358" t="s">
        <v>448</v>
      </c>
      <c r="K323" s="359" t="b">
        <f t="shared" si="14"/>
        <v>0</v>
      </c>
      <c r="L323" s="359">
        <v>3</v>
      </c>
      <c r="M323" s="360">
        <v>2019</v>
      </c>
      <c r="N323" s="361">
        <v>0.0604</v>
      </c>
      <c r="O323" s="362">
        <v>42642</v>
      </c>
      <c r="P323" s="362">
        <v>42642</v>
      </c>
    </row>
    <row r="324" spans="1:16" ht="14.25">
      <c r="A324" s="356">
        <v>2016</v>
      </c>
      <c r="B324" s="357" t="s">
        <v>476</v>
      </c>
      <c r="C324" s="357" t="s">
        <v>477</v>
      </c>
      <c r="D324" s="358">
        <v>1021011</v>
      </c>
      <c r="E324" s="358">
        <v>1</v>
      </c>
      <c r="F324" s="358"/>
      <c r="G324" s="358">
        <v>500</v>
      </c>
      <c r="H324" s="358">
        <v>9.4</v>
      </c>
      <c r="I324" s="358" t="s">
        <v>435</v>
      </c>
      <c r="J324" s="358" t="s">
        <v>448</v>
      </c>
      <c r="K324" s="359" t="b">
        <f t="shared" si="14"/>
        <v>0</v>
      </c>
      <c r="L324" s="359">
        <v>6</v>
      </c>
      <c r="M324" s="360">
        <v>2022</v>
      </c>
      <c r="N324" s="361">
        <v>0.0601</v>
      </c>
      <c r="O324" s="362">
        <v>42642</v>
      </c>
      <c r="P324" s="362">
        <v>42642</v>
      </c>
    </row>
    <row r="325" spans="1:16" ht="14.25">
      <c r="A325" s="356">
        <v>2016</v>
      </c>
      <c r="B325" s="357" t="s">
        <v>476</v>
      </c>
      <c r="C325" s="357" t="s">
        <v>477</v>
      </c>
      <c r="D325" s="358">
        <v>1021011</v>
      </c>
      <c r="E325" s="358">
        <v>1</v>
      </c>
      <c r="F325" s="358"/>
      <c r="G325" s="358">
        <v>500</v>
      </c>
      <c r="H325" s="358">
        <v>9.4</v>
      </c>
      <c r="I325" s="358" t="s">
        <v>435</v>
      </c>
      <c r="J325" s="358" t="s">
        <v>448</v>
      </c>
      <c r="K325" s="359" t="b">
        <f t="shared" si="14"/>
        <v>0</v>
      </c>
      <c r="L325" s="359">
        <v>2</v>
      </c>
      <c r="M325" s="360">
        <v>2018</v>
      </c>
      <c r="N325" s="361">
        <v>0.0581</v>
      </c>
      <c r="O325" s="362">
        <v>42642</v>
      </c>
      <c r="P325" s="362">
        <v>42642</v>
      </c>
    </row>
    <row r="326" spans="1:16" ht="14.25">
      <c r="A326" s="356">
        <v>2016</v>
      </c>
      <c r="B326" s="357" t="s">
        <v>476</v>
      </c>
      <c r="C326" s="357" t="s">
        <v>477</v>
      </c>
      <c r="D326" s="358">
        <v>1021011</v>
      </c>
      <c r="E326" s="358">
        <v>1</v>
      </c>
      <c r="F326" s="358"/>
      <c r="G326" s="358">
        <v>500</v>
      </c>
      <c r="H326" s="358">
        <v>9.4</v>
      </c>
      <c r="I326" s="358" t="s">
        <v>435</v>
      </c>
      <c r="J326" s="358" t="s">
        <v>448</v>
      </c>
      <c r="K326" s="359" t="b">
        <f t="shared" si="14"/>
        <v>0</v>
      </c>
      <c r="L326" s="359">
        <v>7</v>
      </c>
      <c r="M326" s="360">
        <v>2023</v>
      </c>
      <c r="N326" s="361">
        <v>0.0608</v>
      </c>
      <c r="O326" s="362">
        <v>42642</v>
      </c>
      <c r="P326" s="362">
        <v>42642</v>
      </c>
    </row>
    <row r="327" spans="1:16" ht="14.25">
      <c r="A327" s="356">
        <v>2016</v>
      </c>
      <c r="B327" s="357" t="s">
        <v>476</v>
      </c>
      <c r="C327" s="357" t="s">
        <v>477</v>
      </c>
      <c r="D327" s="358">
        <v>1021011</v>
      </c>
      <c r="E327" s="358">
        <v>1</v>
      </c>
      <c r="F327" s="358"/>
      <c r="G327" s="358">
        <v>500</v>
      </c>
      <c r="H327" s="358">
        <v>9.4</v>
      </c>
      <c r="I327" s="358" t="s">
        <v>435</v>
      </c>
      <c r="J327" s="358" t="s">
        <v>448</v>
      </c>
      <c r="K327" s="359" t="b">
        <f t="shared" si="14"/>
        <v>0</v>
      </c>
      <c r="L327" s="359">
        <v>5</v>
      </c>
      <c r="M327" s="360">
        <v>2021</v>
      </c>
      <c r="N327" s="361">
        <v>0.0626</v>
      </c>
      <c r="O327" s="362">
        <v>42642</v>
      </c>
      <c r="P327" s="362">
        <v>42642</v>
      </c>
    </row>
    <row r="328" spans="1:16" ht="14.25">
      <c r="A328" s="356">
        <v>2016</v>
      </c>
      <c r="B328" s="357" t="s">
        <v>476</v>
      </c>
      <c r="C328" s="357" t="s">
        <v>477</v>
      </c>
      <c r="D328" s="358">
        <v>1021011</v>
      </c>
      <c r="E328" s="358">
        <v>1</v>
      </c>
      <c r="F328" s="358"/>
      <c r="G328" s="358">
        <v>508</v>
      </c>
      <c r="H328" s="358">
        <v>9.5</v>
      </c>
      <c r="I328" s="358" t="s">
        <v>436</v>
      </c>
      <c r="J328" s="358" t="s">
        <v>129</v>
      </c>
      <c r="K328" s="359" t="b">
        <f t="shared" si="14"/>
        <v>0</v>
      </c>
      <c r="L328" s="359">
        <v>0</v>
      </c>
      <c r="M328" s="360">
        <v>2016</v>
      </c>
      <c r="N328" s="361">
        <v>0.0308</v>
      </c>
      <c r="O328" s="362">
        <v>42642</v>
      </c>
      <c r="P328" s="362">
        <v>42642</v>
      </c>
    </row>
    <row r="329" spans="1:16" ht="14.25">
      <c r="A329" s="356">
        <v>2016</v>
      </c>
      <c r="B329" s="357" t="s">
        <v>476</v>
      </c>
      <c r="C329" s="357" t="s">
        <v>477</v>
      </c>
      <c r="D329" s="358">
        <v>1021011</v>
      </c>
      <c r="E329" s="358">
        <v>1</v>
      </c>
      <c r="F329" s="358"/>
      <c r="G329" s="358">
        <v>508</v>
      </c>
      <c r="H329" s="358">
        <v>9.5</v>
      </c>
      <c r="I329" s="358" t="s">
        <v>436</v>
      </c>
      <c r="J329" s="358" t="s">
        <v>129</v>
      </c>
      <c r="K329" s="359" t="b">
        <f t="shared" si="14"/>
        <v>0</v>
      </c>
      <c r="L329" s="359">
        <v>1</v>
      </c>
      <c r="M329" s="360">
        <v>2017</v>
      </c>
      <c r="N329" s="361">
        <v>0.0762</v>
      </c>
      <c r="O329" s="362">
        <v>42642</v>
      </c>
      <c r="P329" s="362">
        <v>42642</v>
      </c>
    </row>
    <row r="330" spans="1:16" ht="14.25">
      <c r="A330" s="356">
        <v>2016</v>
      </c>
      <c r="B330" s="357" t="s">
        <v>476</v>
      </c>
      <c r="C330" s="357" t="s">
        <v>477</v>
      </c>
      <c r="D330" s="358">
        <v>1021011</v>
      </c>
      <c r="E330" s="358">
        <v>1</v>
      </c>
      <c r="F330" s="358"/>
      <c r="G330" s="358">
        <v>508</v>
      </c>
      <c r="H330" s="358">
        <v>9.5</v>
      </c>
      <c r="I330" s="358" t="s">
        <v>436</v>
      </c>
      <c r="J330" s="358" t="s">
        <v>129</v>
      </c>
      <c r="K330" s="359" t="b">
        <f t="shared" si="14"/>
        <v>0</v>
      </c>
      <c r="L330" s="359">
        <v>2</v>
      </c>
      <c r="M330" s="360">
        <v>2018</v>
      </c>
      <c r="N330" s="361">
        <v>0.0872</v>
      </c>
      <c r="O330" s="362">
        <v>42642</v>
      </c>
      <c r="P330" s="362">
        <v>42642</v>
      </c>
    </row>
    <row r="331" spans="1:16" ht="14.25">
      <c r="A331" s="356">
        <v>2016</v>
      </c>
      <c r="B331" s="357" t="s">
        <v>476</v>
      </c>
      <c r="C331" s="357" t="s">
        <v>477</v>
      </c>
      <c r="D331" s="358">
        <v>1021011</v>
      </c>
      <c r="E331" s="358">
        <v>1</v>
      </c>
      <c r="F331" s="358"/>
      <c r="G331" s="358">
        <v>508</v>
      </c>
      <c r="H331" s="358">
        <v>9.5</v>
      </c>
      <c r="I331" s="358" t="s">
        <v>436</v>
      </c>
      <c r="J331" s="358" t="s">
        <v>129</v>
      </c>
      <c r="K331" s="359" t="b">
        <f t="shared" si="14"/>
        <v>0</v>
      </c>
      <c r="L331" s="359">
        <v>6</v>
      </c>
      <c r="M331" s="360">
        <v>2022</v>
      </c>
      <c r="N331" s="361">
        <v>0.1256</v>
      </c>
      <c r="O331" s="362">
        <v>42642</v>
      </c>
      <c r="P331" s="362">
        <v>42642</v>
      </c>
    </row>
    <row r="332" spans="1:16" ht="14.25">
      <c r="A332" s="356">
        <v>2016</v>
      </c>
      <c r="B332" s="357" t="s">
        <v>476</v>
      </c>
      <c r="C332" s="357" t="s">
        <v>477</v>
      </c>
      <c r="D332" s="358">
        <v>1021011</v>
      </c>
      <c r="E332" s="358">
        <v>1</v>
      </c>
      <c r="F332" s="358"/>
      <c r="G332" s="358">
        <v>508</v>
      </c>
      <c r="H332" s="358">
        <v>9.5</v>
      </c>
      <c r="I332" s="358" t="s">
        <v>436</v>
      </c>
      <c r="J332" s="358" t="s">
        <v>129</v>
      </c>
      <c r="K332" s="359" t="b">
        <f t="shared" si="14"/>
        <v>0</v>
      </c>
      <c r="L332" s="359">
        <v>4</v>
      </c>
      <c r="M332" s="360">
        <v>2020</v>
      </c>
      <c r="N332" s="361">
        <v>0.1073</v>
      </c>
      <c r="O332" s="362">
        <v>42642</v>
      </c>
      <c r="P332" s="362">
        <v>42642</v>
      </c>
    </row>
    <row r="333" spans="1:16" ht="14.25">
      <c r="A333" s="356">
        <v>2016</v>
      </c>
      <c r="B333" s="357" t="s">
        <v>476</v>
      </c>
      <c r="C333" s="357" t="s">
        <v>477</v>
      </c>
      <c r="D333" s="358">
        <v>1021011</v>
      </c>
      <c r="E333" s="358">
        <v>1</v>
      </c>
      <c r="F333" s="358"/>
      <c r="G333" s="358">
        <v>508</v>
      </c>
      <c r="H333" s="358">
        <v>9.5</v>
      </c>
      <c r="I333" s="358" t="s">
        <v>436</v>
      </c>
      <c r="J333" s="358" t="s">
        <v>129</v>
      </c>
      <c r="K333" s="359" t="b">
        <f t="shared" si="14"/>
        <v>0</v>
      </c>
      <c r="L333" s="359">
        <v>5</v>
      </c>
      <c r="M333" s="360">
        <v>2021</v>
      </c>
      <c r="N333" s="361">
        <v>0.1167</v>
      </c>
      <c r="O333" s="362">
        <v>42642</v>
      </c>
      <c r="P333" s="362">
        <v>42642</v>
      </c>
    </row>
    <row r="334" spans="1:16" ht="14.25">
      <c r="A334" s="356">
        <v>2016</v>
      </c>
      <c r="B334" s="357" t="s">
        <v>476</v>
      </c>
      <c r="C334" s="357" t="s">
        <v>477</v>
      </c>
      <c r="D334" s="358">
        <v>1021011</v>
      </c>
      <c r="E334" s="358">
        <v>1</v>
      </c>
      <c r="F334" s="358"/>
      <c r="G334" s="358">
        <v>508</v>
      </c>
      <c r="H334" s="358">
        <v>9.5</v>
      </c>
      <c r="I334" s="358" t="s">
        <v>436</v>
      </c>
      <c r="J334" s="358" t="s">
        <v>129</v>
      </c>
      <c r="K334" s="359" t="b">
        <f t="shared" si="14"/>
        <v>0</v>
      </c>
      <c r="L334" s="359">
        <v>8</v>
      </c>
      <c r="M334" s="360">
        <v>2024</v>
      </c>
      <c r="N334" s="361">
        <v>0.1422</v>
      </c>
      <c r="O334" s="362">
        <v>42642</v>
      </c>
      <c r="P334" s="362">
        <v>42642</v>
      </c>
    </row>
    <row r="335" spans="1:16" ht="14.25">
      <c r="A335" s="356">
        <v>2016</v>
      </c>
      <c r="B335" s="357" t="s">
        <v>476</v>
      </c>
      <c r="C335" s="357" t="s">
        <v>477</v>
      </c>
      <c r="D335" s="358">
        <v>1021011</v>
      </c>
      <c r="E335" s="358">
        <v>1</v>
      </c>
      <c r="F335" s="358"/>
      <c r="G335" s="358">
        <v>508</v>
      </c>
      <c r="H335" s="358">
        <v>9.5</v>
      </c>
      <c r="I335" s="358" t="s">
        <v>436</v>
      </c>
      <c r="J335" s="358" t="s">
        <v>129</v>
      </c>
      <c r="K335" s="359" t="b">
        <f t="shared" si="14"/>
        <v>0</v>
      </c>
      <c r="L335" s="359">
        <v>7</v>
      </c>
      <c r="M335" s="360">
        <v>2023</v>
      </c>
      <c r="N335" s="361">
        <v>0.1341</v>
      </c>
      <c r="O335" s="362">
        <v>42642</v>
      </c>
      <c r="P335" s="362">
        <v>42642</v>
      </c>
    </row>
    <row r="336" spans="1:16" ht="14.25">
      <c r="A336" s="356">
        <v>2016</v>
      </c>
      <c r="B336" s="357" t="s">
        <v>476</v>
      </c>
      <c r="C336" s="357" t="s">
        <v>477</v>
      </c>
      <c r="D336" s="358">
        <v>1021011</v>
      </c>
      <c r="E336" s="358">
        <v>1</v>
      </c>
      <c r="F336" s="358"/>
      <c r="G336" s="358">
        <v>508</v>
      </c>
      <c r="H336" s="358">
        <v>9.5</v>
      </c>
      <c r="I336" s="358" t="s">
        <v>436</v>
      </c>
      <c r="J336" s="358" t="s">
        <v>129</v>
      </c>
      <c r="K336" s="359" t="b">
        <f t="shared" si="14"/>
        <v>0</v>
      </c>
      <c r="L336" s="359">
        <v>3</v>
      </c>
      <c r="M336" s="360">
        <v>2019</v>
      </c>
      <c r="N336" s="361">
        <v>0.0975</v>
      </c>
      <c r="O336" s="362">
        <v>42642</v>
      </c>
      <c r="P336" s="362">
        <v>42642</v>
      </c>
    </row>
    <row r="337" spans="1:16" ht="14.25">
      <c r="A337" s="356">
        <v>2016</v>
      </c>
      <c r="B337" s="357" t="s">
        <v>476</v>
      </c>
      <c r="C337" s="357" t="s">
        <v>477</v>
      </c>
      <c r="D337" s="358">
        <v>1021011</v>
      </c>
      <c r="E337" s="358">
        <v>1</v>
      </c>
      <c r="F337" s="358"/>
      <c r="G337" s="358">
        <v>50</v>
      </c>
      <c r="H337" s="358" t="s">
        <v>19</v>
      </c>
      <c r="I337" s="358"/>
      <c r="J337" s="358" t="s">
        <v>20</v>
      </c>
      <c r="K337" s="359" t="b">
        <f aca="true" t="shared" si="15" ref="K337:K399">TRUE</f>
        <v>1</v>
      </c>
      <c r="L337" s="359">
        <v>6</v>
      </c>
      <c r="M337" s="360">
        <v>2022</v>
      </c>
      <c r="N337" s="361">
        <v>0</v>
      </c>
      <c r="O337" s="362">
        <v>42642</v>
      </c>
      <c r="P337" s="362">
        <v>42642</v>
      </c>
    </row>
    <row r="338" spans="1:16" ht="14.25">
      <c r="A338" s="356">
        <v>2016</v>
      </c>
      <c r="B338" s="357" t="s">
        <v>476</v>
      </c>
      <c r="C338" s="357" t="s">
        <v>477</v>
      </c>
      <c r="D338" s="358">
        <v>1021011</v>
      </c>
      <c r="E338" s="358">
        <v>1</v>
      </c>
      <c r="F338" s="358"/>
      <c r="G338" s="358">
        <v>50</v>
      </c>
      <c r="H338" s="358" t="s">
        <v>19</v>
      </c>
      <c r="I338" s="358"/>
      <c r="J338" s="358" t="s">
        <v>20</v>
      </c>
      <c r="K338" s="359" t="b">
        <f t="shared" si="15"/>
        <v>1</v>
      </c>
      <c r="L338" s="359">
        <v>8</v>
      </c>
      <c r="M338" s="360">
        <v>2024</v>
      </c>
      <c r="N338" s="361">
        <v>0</v>
      </c>
      <c r="O338" s="362">
        <v>42642</v>
      </c>
      <c r="P338" s="362">
        <v>42642</v>
      </c>
    </row>
    <row r="339" spans="1:16" ht="14.25">
      <c r="A339" s="356">
        <v>2016</v>
      </c>
      <c r="B339" s="357" t="s">
        <v>476</v>
      </c>
      <c r="C339" s="357" t="s">
        <v>477</v>
      </c>
      <c r="D339" s="358">
        <v>1021011</v>
      </c>
      <c r="E339" s="358">
        <v>1</v>
      </c>
      <c r="F339" s="358"/>
      <c r="G339" s="358">
        <v>50</v>
      </c>
      <c r="H339" s="358" t="s">
        <v>19</v>
      </c>
      <c r="I339" s="358"/>
      <c r="J339" s="358" t="s">
        <v>20</v>
      </c>
      <c r="K339" s="359" t="b">
        <f t="shared" si="15"/>
        <v>1</v>
      </c>
      <c r="L339" s="359">
        <v>4</v>
      </c>
      <c r="M339" s="360">
        <v>2020</v>
      </c>
      <c r="N339" s="361">
        <v>0</v>
      </c>
      <c r="O339" s="362">
        <v>42642</v>
      </c>
      <c r="P339" s="362">
        <v>42642</v>
      </c>
    </row>
    <row r="340" spans="1:16" ht="14.25">
      <c r="A340" s="356">
        <v>2016</v>
      </c>
      <c r="B340" s="357" t="s">
        <v>476</v>
      </c>
      <c r="C340" s="357" t="s">
        <v>477</v>
      </c>
      <c r="D340" s="358">
        <v>1021011</v>
      </c>
      <c r="E340" s="358">
        <v>1</v>
      </c>
      <c r="F340" s="358"/>
      <c r="G340" s="358">
        <v>50</v>
      </c>
      <c r="H340" s="358" t="s">
        <v>19</v>
      </c>
      <c r="I340" s="358"/>
      <c r="J340" s="358" t="s">
        <v>20</v>
      </c>
      <c r="K340" s="359" t="b">
        <f t="shared" si="15"/>
        <v>1</v>
      </c>
      <c r="L340" s="359">
        <v>3</v>
      </c>
      <c r="M340" s="360">
        <v>2019</v>
      </c>
      <c r="N340" s="361">
        <v>7500000</v>
      </c>
      <c r="O340" s="362">
        <v>42642</v>
      </c>
      <c r="P340" s="362">
        <v>42642</v>
      </c>
    </row>
    <row r="341" spans="1:16" ht="14.25">
      <c r="A341" s="356">
        <v>2016</v>
      </c>
      <c r="B341" s="357" t="s">
        <v>476</v>
      </c>
      <c r="C341" s="357" t="s">
        <v>477</v>
      </c>
      <c r="D341" s="358">
        <v>1021011</v>
      </c>
      <c r="E341" s="358">
        <v>1</v>
      </c>
      <c r="F341" s="358"/>
      <c r="G341" s="358">
        <v>50</v>
      </c>
      <c r="H341" s="358" t="s">
        <v>19</v>
      </c>
      <c r="I341" s="358"/>
      <c r="J341" s="358" t="s">
        <v>20</v>
      </c>
      <c r="K341" s="359" t="b">
        <f t="shared" si="15"/>
        <v>1</v>
      </c>
      <c r="L341" s="359">
        <v>2</v>
      </c>
      <c r="M341" s="360">
        <v>2018</v>
      </c>
      <c r="N341" s="361">
        <v>7400000</v>
      </c>
      <c r="O341" s="362">
        <v>42642</v>
      </c>
      <c r="P341" s="362">
        <v>42642</v>
      </c>
    </row>
    <row r="342" spans="1:16" ht="14.25">
      <c r="A342" s="356">
        <v>2016</v>
      </c>
      <c r="B342" s="357" t="s">
        <v>476</v>
      </c>
      <c r="C342" s="357" t="s">
        <v>477</v>
      </c>
      <c r="D342" s="358">
        <v>1021011</v>
      </c>
      <c r="E342" s="358">
        <v>1</v>
      </c>
      <c r="F342" s="358"/>
      <c r="G342" s="358">
        <v>50</v>
      </c>
      <c r="H342" s="358" t="s">
        <v>19</v>
      </c>
      <c r="I342" s="358"/>
      <c r="J342" s="358" t="s">
        <v>20</v>
      </c>
      <c r="K342" s="359" t="b">
        <f t="shared" si="15"/>
        <v>1</v>
      </c>
      <c r="L342" s="359">
        <v>1</v>
      </c>
      <c r="M342" s="360">
        <v>2017</v>
      </c>
      <c r="N342" s="361">
        <v>7400000</v>
      </c>
      <c r="O342" s="362">
        <v>42642</v>
      </c>
      <c r="P342" s="362">
        <v>42642</v>
      </c>
    </row>
    <row r="343" spans="1:16" ht="14.25">
      <c r="A343" s="356">
        <v>2016</v>
      </c>
      <c r="B343" s="357" t="s">
        <v>476</v>
      </c>
      <c r="C343" s="357" t="s">
        <v>477</v>
      </c>
      <c r="D343" s="358">
        <v>1021011</v>
      </c>
      <c r="E343" s="358">
        <v>1</v>
      </c>
      <c r="F343" s="358"/>
      <c r="G343" s="358">
        <v>50</v>
      </c>
      <c r="H343" s="358" t="s">
        <v>19</v>
      </c>
      <c r="I343" s="358"/>
      <c r="J343" s="358" t="s">
        <v>20</v>
      </c>
      <c r="K343" s="359" t="b">
        <f t="shared" si="15"/>
        <v>1</v>
      </c>
      <c r="L343" s="359">
        <v>5</v>
      </c>
      <c r="M343" s="360">
        <v>2021</v>
      </c>
      <c r="N343" s="361">
        <v>0</v>
      </c>
      <c r="O343" s="362">
        <v>42642</v>
      </c>
      <c r="P343" s="362">
        <v>42642</v>
      </c>
    </row>
    <row r="344" spans="1:16" ht="14.25">
      <c r="A344" s="356">
        <v>2016</v>
      </c>
      <c r="B344" s="357" t="s">
        <v>476</v>
      </c>
      <c r="C344" s="357" t="s">
        <v>477</v>
      </c>
      <c r="D344" s="358">
        <v>1021011</v>
      </c>
      <c r="E344" s="358">
        <v>1</v>
      </c>
      <c r="F344" s="358"/>
      <c r="G344" s="358">
        <v>50</v>
      </c>
      <c r="H344" s="358" t="s">
        <v>19</v>
      </c>
      <c r="I344" s="358"/>
      <c r="J344" s="358" t="s">
        <v>20</v>
      </c>
      <c r="K344" s="359" t="b">
        <f t="shared" si="15"/>
        <v>1</v>
      </c>
      <c r="L344" s="359">
        <v>7</v>
      </c>
      <c r="M344" s="360">
        <v>2023</v>
      </c>
      <c r="N344" s="361">
        <v>0</v>
      </c>
      <c r="O344" s="362">
        <v>42642</v>
      </c>
      <c r="P344" s="362">
        <v>42642</v>
      </c>
    </row>
    <row r="345" spans="1:16" ht="14.25">
      <c r="A345" s="356">
        <v>2016</v>
      </c>
      <c r="B345" s="357" t="s">
        <v>476</v>
      </c>
      <c r="C345" s="357" t="s">
        <v>477</v>
      </c>
      <c r="D345" s="358">
        <v>1021011</v>
      </c>
      <c r="E345" s="358">
        <v>1</v>
      </c>
      <c r="F345" s="358"/>
      <c r="G345" s="358">
        <v>50</v>
      </c>
      <c r="H345" s="358" t="s">
        <v>19</v>
      </c>
      <c r="I345" s="358"/>
      <c r="J345" s="358" t="s">
        <v>20</v>
      </c>
      <c r="K345" s="359" t="b">
        <f t="shared" si="15"/>
        <v>1</v>
      </c>
      <c r="L345" s="359">
        <v>0</v>
      </c>
      <c r="M345" s="360">
        <v>2016</v>
      </c>
      <c r="N345" s="361">
        <v>7404441.02</v>
      </c>
      <c r="O345" s="362">
        <v>42642</v>
      </c>
      <c r="P345" s="362">
        <v>42642</v>
      </c>
    </row>
    <row r="346" spans="1:16" ht="14.25">
      <c r="A346" s="356">
        <v>2016</v>
      </c>
      <c r="B346" s="357" t="s">
        <v>476</v>
      </c>
      <c r="C346" s="357" t="s">
        <v>477</v>
      </c>
      <c r="D346" s="358">
        <v>1021011</v>
      </c>
      <c r="E346" s="358">
        <v>1</v>
      </c>
      <c r="F346" s="358"/>
      <c r="G346" s="358">
        <v>510</v>
      </c>
      <c r="H346" s="358">
        <v>9.6</v>
      </c>
      <c r="I346" s="358"/>
      <c r="J346" s="358" t="s">
        <v>449</v>
      </c>
      <c r="K346" s="359" t="b">
        <f t="shared" si="15"/>
        <v>1</v>
      </c>
      <c r="L346" s="359">
        <v>0</v>
      </c>
      <c r="M346" s="360">
        <v>2016</v>
      </c>
      <c r="N346" s="361">
        <v>0.0638</v>
      </c>
      <c r="O346" s="362">
        <v>42642</v>
      </c>
      <c r="P346" s="362">
        <v>42642</v>
      </c>
    </row>
    <row r="347" spans="1:16" ht="14.25">
      <c r="A347" s="356">
        <v>2016</v>
      </c>
      <c r="B347" s="357" t="s">
        <v>476</v>
      </c>
      <c r="C347" s="357" t="s">
        <v>477</v>
      </c>
      <c r="D347" s="358">
        <v>1021011</v>
      </c>
      <c r="E347" s="358">
        <v>1</v>
      </c>
      <c r="F347" s="358"/>
      <c r="G347" s="358">
        <v>510</v>
      </c>
      <c r="H347" s="358">
        <v>9.6</v>
      </c>
      <c r="I347" s="358"/>
      <c r="J347" s="358" t="s">
        <v>449</v>
      </c>
      <c r="K347" s="359" t="b">
        <f t="shared" si="15"/>
        <v>1</v>
      </c>
      <c r="L347" s="359">
        <v>6</v>
      </c>
      <c r="M347" s="360">
        <v>2022</v>
      </c>
      <c r="N347" s="361">
        <v>0.1072</v>
      </c>
      <c r="O347" s="362">
        <v>42642</v>
      </c>
      <c r="P347" s="362">
        <v>42642</v>
      </c>
    </row>
    <row r="348" spans="1:16" ht="14.25">
      <c r="A348" s="356">
        <v>2016</v>
      </c>
      <c r="B348" s="357" t="s">
        <v>476</v>
      </c>
      <c r="C348" s="357" t="s">
        <v>477</v>
      </c>
      <c r="D348" s="358">
        <v>1021011</v>
      </c>
      <c r="E348" s="358">
        <v>1</v>
      </c>
      <c r="F348" s="358"/>
      <c r="G348" s="358">
        <v>510</v>
      </c>
      <c r="H348" s="358">
        <v>9.6</v>
      </c>
      <c r="I348" s="358"/>
      <c r="J348" s="358" t="s">
        <v>449</v>
      </c>
      <c r="K348" s="359" t="b">
        <f t="shared" si="15"/>
        <v>1</v>
      </c>
      <c r="L348" s="359">
        <v>3</v>
      </c>
      <c r="M348" s="360">
        <v>2019</v>
      </c>
      <c r="N348" s="361">
        <v>0.0647</v>
      </c>
      <c r="O348" s="362">
        <v>42642</v>
      </c>
      <c r="P348" s="362">
        <v>42642</v>
      </c>
    </row>
    <row r="349" spans="1:16" ht="14.25">
      <c r="A349" s="356">
        <v>2016</v>
      </c>
      <c r="B349" s="357" t="s">
        <v>476</v>
      </c>
      <c r="C349" s="357" t="s">
        <v>477</v>
      </c>
      <c r="D349" s="358">
        <v>1021011</v>
      </c>
      <c r="E349" s="358">
        <v>1</v>
      </c>
      <c r="F349" s="358"/>
      <c r="G349" s="358">
        <v>510</v>
      </c>
      <c r="H349" s="358">
        <v>9.6</v>
      </c>
      <c r="I349" s="358"/>
      <c r="J349" s="358" t="s">
        <v>449</v>
      </c>
      <c r="K349" s="359" t="b">
        <f t="shared" si="15"/>
        <v>1</v>
      </c>
      <c r="L349" s="359">
        <v>1</v>
      </c>
      <c r="M349" s="360">
        <v>2017</v>
      </c>
      <c r="N349" s="361">
        <v>0.053</v>
      </c>
      <c r="O349" s="362">
        <v>42642</v>
      </c>
      <c r="P349" s="362">
        <v>42642</v>
      </c>
    </row>
    <row r="350" spans="1:16" ht="14.25">
      <c r="A350" s="356">
        <v>2016</v>
      </c>
      <c r="B350" s="357" t="s">
        <v>476</v>
      </c>
      <c r="C350" s="357" t="s">
        <v>477</v>
      </c>
      <c r="D350" s="358">
        <v>1021011</v>
      </c>
      <c r="E350" s="358">
        <v>1</v>
      </c>
      <c r="F350" s="358"/>
      <c r="G350" s="358">
        <v>510</v>
      </c>
      <c r="H350" s="358">
        <v>9.6</v>
      </c>
      <c r="I350" s="358"/>
      <c r="J350" s="358" t="s">
        <v>449</v>
      </c>
      <c r="K350" s="359" t="b">
        <f t="shared" si="15"/>
        <v>1</v>
      </c>
      <c r="L350" s="359">
        <v>2</v>
      </c>
      <c r="M350" s="360">
        <v>2018</v>
      </c>
      <c r="N350" s="361">
        <v>0.0521</v>
      </c>
      <c r="O350" s="362">
        <v>42642</v>
      </c>
      <c r="P350" s="362">
        <v>42642</v>
      </c>
    </row>
    <row r="351" spans="1:16" ht="14.25">
      <c r="A351" s="356">
        <v>2016</v>
      </c>
      <c r="B351" s="357" t="s">
        <v>476</v>
      </c>
      <c r="C351" s="357" t="s">
        <v>477</v>
      </c>
      <c r="D351" s="358">
        <v>1021011</v>
      </c>
      <c r="E351" s="358">
        <v>1</v>
      </c>
      <c r="F351" s="358"/>
      <c r="G351" s="358">
        <v>510</v>
      </c>
      <c r="H351" s="358">
        <v>9.6</v>
      </c>
      <c r="I351" s="358"/>
      <c r="J351" s="358" t="s">
        <v>449</v>
      </c>
      <c r="K351" s="359" t="b">
        <f t="shared" si="15"/>
        <v>1</v>
      </c>
      <c r="L351" s="359">
        <v>5</v>
      </c>
      <c r="M351" s="360">
        <v>2021</v>
      </c>
      <c r="N351" s="361">
        <v>0.0973</v>
      </c>
      <c r="O351" s="362">
        <v>42642</v>
      </c>
      <c r="P351" s="362">
        <v>42642</v>
      </c>
    </row>
    <row r="352" spans="1:16" ht="14.25">
      <c r="A352" s="356">
        <v>2016</v>
      </c>
      <c r="B352" s="357" t="s">
        <v>476</v>
      </c>
      <c r="C352" s="357" t="s">
        <v>477</v>
      </c>
      <c r="D352" s="358">
        <v>1021011</v>
      </c>
      <c r="E352" s="358">
        <v>1</v>
      </c>
      <c r="F352" s="358"/>
      <c r="G352" s="358">
        <v>510</v>
      </c>
      <c r="H352" s="358">
        <v>9.6</v>
      </c>
      <c r="I352" s="358"/>
      <c r="J352" s="358" t="s">
        <v>449</v>
      </c>
      <c r="K352" s="359" t="b">
        <f t="shared" si="15"/>
        <v>1</v>
      </c>
      <c r="L352" s="359">
        <v>7</v>
      </c>
      <c r="M352" s="360">
        <v>2023</v>
      </c>
      <c r="N352" s="361">
        <v>0.1165</v>
      </c>
      <c r="O352" s="362">
        <v>42642</v>
      </c>
      <c r="P352" s="362">
        <v>42642</v>
      </c>
    </row>
    <row r="353" spans="1:16" ht="14.25">
      <c r="A353" s="356">
        <v>2016</v>
      </c>
      <c r="B353" s="357" t="s">
        <v>476</v>
      </c>
      <c r="C353" s="357" t="s">
        <v>477</v>
      </c>
      <c r="D353" s="358">
        <v>1021011</v>
      </c>
      <c r="E353" s="358">
        <v>1</v>
      </c>
      <c r="F353" s="358"/>
      <c r="G353" s="358">
        <v>510</v>
      </c>
      <c r="H353" s="358">
        <v>9.6</v>
      </c>
      <c r="I353" s="358"/>
      <c r="J353" s="358" t="s">
        <v>449</v>
      </c>
      <c r="K353" s="359" t="b">
        <f t="shared" si="15"/>
        <v>1</v>
      </c>
      <c r="L353" s="359">
        <v>4</v>
      </c>
      <c r="M353" s="360">
        <v>2020</v>
      </c>
      <c r="N353" s="361">
        <v>0.087</v>
      </c>
      <c r="O353" s="362">
        <v>42642</v>
      </c>
      <c r="P353" s="362">
        <v>42642</v>
      </c>
    </row>
    <row r="354" spans="1:16" ht="14.25">
      <c r="A354" s="356">
        <v>2016</v>
      </c>
      <c r="B354" s="357" t="s">
        <v>476</v>
      </c>
      <c r="C354" s="357" t="s">
        <v>477</v>
      </c>
      <c r="D354" s="358">
        <v>1021011</v>
      </c>
      <c r="E354" s="358">
        <v>1</v>
      </c>
      <c r="F354" s="358"/>
      <c r="G354" s="358">
        <v>510</v>
      </c>
      <c r="H354" s="358">
        <v>9.6</v>
      </c>
      <c r="I354" s="358"/>
      <c r="J354" s="358" t="s">
        <v>449</v>
      </c>
      <c r="K354" s="359" t="b">
        <f t="shared" si="15"/>
        <v>1</v>
      </c>
      <c r="L354" s="359">
        <v>8</v>
      </c>
      <c r="M354" s="360">
        <v>2024</v>
      </c>
      <c r="N354" s="361">
        <v>0.1255</v>
      </c>
      <c r="O354" s="362">
        <v>42642</v>
      </c>
      <c r="P354" s="362">
        <v>42642</v>
      </c>
    </row>
    <row r="355" spans="1:16" ht="14.25">
      <c r="A355" s="356">
        <v>2016</v>
      </c>
      <c r="B355" s="357" t="s">
        <v>476</v>
      </c>
      <c r="C355" s="357" t="s">
        <v>477</v>
      </c>
      <c r="D355" s="358">
        <v>1021011</v>
      </c>
      <c r="E355" s="358">
        <v>1</v>
      </c>
      <c r="F355" s="358"/>
      <c r="G355" s="358">
        <v>20</v>
      </c>
      <c r="H355" s="358">
        <v>1.1</v>
      </c>
      <c r="I355" s="358"/>
      <c r="J355" s="358" t="s">
        <v>11</v>
      </c>
      <c r="K355" s="359" t="b">
        <f t="shared" si="15"/>
        <v>1</v>
      </c>
      <c r="L355" s="359">
        <v>8</v>
      </c>
      <c r="M355" s="360">
        <v>2024</v>
      </c>
      <c r="N355" s="361">
        <v>45000000</v>
      </c>
      <c r="O355" s="362">
        <v>42642</v>
      </c>
      <c r="P355" s="362">
        <v>42642</v>
      </c>
    </row>
    <row r="356" spans="1:16" ht="14.25">
      <c r="A356" s="356">
        <v>2016</v>
      </c>
      <c r="B356" s="357" t="s">
        <v>476</v>
      </c>
      <c r="C356" s="357" t="s">
        <v>477</v>
      </c>
      <c r="D356" s="358">
        <v>1021011</v>
      </c>
      <c r="E356" s="358">
        <v>1</v>
      </c>
      <c r="F356" s="358"/>
      <c r="G356" s="358">
        <v>20</v>
      </c>
      <c r="H356" s="358">
        <v>1.1</v>
      </c>
      <c r="I356" s="358"/>
      <c r="J356" s="358" t="s">
        <v>11</v>
      </c>
      <c r="K356" s="359" t="b">
        <f t="shared" si="15"/>
        <v>1</v>
      </c>
      <c r="L356" s="359">
        <v>5</v>
      </c>
      <c r="M356" s="360">
        <v>2021</v>
      </c>
      <c r="N356" s="361">
        <v>42000000</v>
      </c>
      <c r="O356" s="362">
        <v>42642</v>
      </c>
      <c r="P356" s="362">
        <v>42642</v>
      </c>
    </row>
    <row r="357" spans="1:16" ht="14.25">
      <c r="A357" s="356">
        <v>2016</v>
      </c>
      <c r="B357" s="357" t="s">
        <v>476</v>
      </c>
      <c r="C357" s="357" t="s">
        <v>477</v>
      </c>
      <c r="D357" s="358">
        <v>1021011</v>
      </c>
      <c r="E357" s="358">
        <v>1</v>
      </c>
      <c r="F357" s="358"/>
      <c r="G357" s="358">
        <v>20</v>
      </c>
      <c r="H357" s="358">
        <v>1.1</v>
      </c>
      <c r="I357" s="358"/>
      <c r="J357" s="358" t="s">
        <v>11</v>
      </c>
      <c r="K357" s="359" t="b">
        <f t="shared" si="15"/>
        <v>1</v>
      </c>
      <c r="L357" s="359">
        <v>2</v>
      </c>
      <c r="M357" s="360">
        <v>2018</v>
      </c>
      <c r="N357" s="361">
        <v>39000000</v>
      </c>
      <c r="O357" s="362">
        <v>42642</v>
      </c>
      <c r="P357" s="362">
        <v>42642</v>
      </c>
    </row>
    <row r="358" spans="1:16" ht="14.25">
      <c r="A358" s="356">
        <v>2016</v>
      </c>
      <c r="B358" s="357" t="s">
        <v>476</v>
      </c>
      <c r="C358" s="357" t="s">
        <v>477</v>
      </c>
      <c r="D358" s="358">
        <v>1021011</v>
      </c>
      <c r="E358" s="358">
        <v>1</v>
      </c>
      <c r="F358" s="358"/>
      <c r="G358" s="358">
        <v>20</v>
      </c>
      <c r="H358" s="358">
        <v>1.1</v>
      </c>
      <c r="I358" s="358"/>
      <c r="J358" s="358" t="s">
        <v>11</v>
      </c>
      <c r="K358" s="359" t="b">
        <f t="shared" si="15"/>
        <v>1</v>
      </c>
      <c r="L358" s="359">
        <v>4</v>
      </c>
      <c r="M358" s="360">
        <v>2020</v>
      </c>
      <c r="N358" s="361">
        <v>41000000</v>
      </c>
      <c r="O358" s="362">
        <v>42642</v>
      </c>
      <c r="P358" s="362">
        <v>42642</v>
      </c>
    </row>
    <row r="359" spans="1:16" ht="14.25">
      <c r="A359" s="356">
        <v>2016</v>
      </c>
      <c r="B359" s="357" t="s">
        <v>476</v>
      </c>
      <c r="C359" s="357" t="s">
        <v>477</v>
      </c>
      <c r="D359" s="358">
        <v>1021011</v>
      </c>
      <c r="E359" s="358">
        <v>1</v>
      </c>
      <c r="F359" s="358"/>
      <c r="G359" s="358">
        <v>20</v>
      </c>
      <c r="H359" s="358">
        <v>1.1</v>
      </c>
      <c r="I359" s="358"/>
      <c r="J359" s="358" t="s">
        <v>11</v>
      </c>
      <c r="K359" s="359" t="b">
        <f t="shared" si="15"/>
        <v>1</v>
      </c>
      <c r="L359" s="359">
        <v>7</v>
      </c>
      <c r="M359" s="360">
        <v>2023</v>
      </c>
      <c r="N359" s="361">
        <v>44000000</v>
      </c>
      <c r="O359" s="362">
        <v>42642</v>
      </c>
      <c r="P359" s="362">
        <v>42642</v>
      </c>
    </row>
    <row r="360" spans="1:16" ht="14.25">
      <c r="A360" s="356">
        <v>2016</v>
      </c>
      <c r="B360" s="357" t="s">
        <v>476</v>
      </c>
      <c r="C360" s="357" t="s">
        <v>477</v>
      </c>
      <c r="D360" s="358">
        <v>1021011</v>
      </c>
      <c r="E360" s="358">
        <v>1</v>
      </c>
      <c r="F360" s="358"/>
      <c r="G360" s="358">
        <v>20</v>
      </c>
      <c r="H360" s="358">
        <v>1.1</v>
      </c>
      <c r="I360" s="358"/>
      <c r="J360" s="358" t="s">
        <v>11</v>
      </c>
      <c r="K360" s="359" t="b">
        <f t="shared" si="15"/>
        <v>1</v>
      </c>
      <c r="L360" s="359">
        <v>3</v>
      </c>
      <c r="M360" s="360">
        <v>2019</v>
      </c>
      <c r="N360" s="361">
        <v>40000000</v>
      </c>
      <c r="O360" s="362">
        <v>42642</v>
      </c>
      <c r="P360" s="362">
        <v>42642</v>
      </c>
    </row>
    <row r="361" spans="1:16" ht="14.25">
      <c r="A361" s="356">
        <v>2016</v>
      </c>
      <c r="B361" s="357" t="s">
        <v>476</v>
      </c>
      <c r="C361" s="357" t="s">
        <v>477</v>
      </c>
      <c r="D361" s="358">
        <v>1021011</v>
      </c>
      <c r="E361" s="358">
        <v>1</v>
      </c>
      <c r="F361" s="358"/>
      <c r="G361" s="358">
        <v>20</v>
      </c>
      <c r="H361" s="358">
        <v>1.1</v>
      </c>
      <c r="I361" s="358"/>
      <c r="J361" s="358" t="s">
        <v>11</v>
      </c>
      <c r="K361" s="359" t="b">
        <f t="shared" si="15"/>
        <v>1</v>
      </c>
      <c r="L361" s="359">
        <v>1</v>
      </c>
      <c r="M361" s="360">
        <v>2017</v>
      </c>
      <c r="N361" s="361">
        <v>38100000</v>
      </c>
      <c r="O361" s="362">
        <v>42642</v>
      </c>
      <c r="P361" s="362">
        <v>42642</v>
      </c>
    </row>
    <row r="362" spans="1:16" ht="14.25">
      <c r="A362" s="356">
        <v>2016</v>
      </c>
      <c r="B362" s="357" t="s">
        <v>476</v>
      </c>
      <c r="C362" s="357" t="s">
        <v>477</v>
      </c>
      <c r="D362" s="358">
        <v>1021011</v>
      </c>
      <c r="E362" s="358">
        <v>1</v>
      </c>
      <c r="F362" s="358"/>
      <c r="G362" s="358">
        <v>20</v>
      </c>
      <c r="H362" s="358">
        <v>1.1</v>
      </c>
      <c r="I362" s="358"/>
      <c r="J362" s="358" t="s">
        <v>11</v>
      </c>
      <c r="K362" s="359" t="b">
        <f t="shared" si="15"/>
        <v>1</v>
      </c>
      <c r="L362" s="359">
        <v>6</v>
      </c>
      <c r="M362" s="360">
        <v>2022</v>
      </c>
      <c r="N362" s="361">
        <v>43000000</v>
      </c>
      <c r="O362" s="362">
        <v>42642</v>
      </c>
      <c r="P362" s="362">
        <v>42642</v>
      </c>
    </row>
    <row r="363" spans="1:16" ht="14.25">
      <c r="A363" s="356">
        <v>2016</v>
      </c>
      <c r="B363" s="357" t="s">
        <v>476</v>
      </c>
      <c r="C363" s="357" t="s">
        <v>477</v>
      </c>
      <c r="D363" s="358">
        <v>1021011</v>
      </c>
      <c r="E363" s="358">
        <v>1</v>
      </c>
      <c r="F363" s="358"/>
      <c r="G363" s="358">
        <v>20</v>
      </c>
      <c r="H363" s="358">
        <v>1.1</v>
      </c>
      <c r="I363" s="358"/>
      <c r="J363" s="358" t="s">
        <v>11</v>
      </c>
      <c r="K363" s="359" t="b">
        <f t="shared" si="15"/>
        <v>1</v>
      </c>
      <c r="L363" s="359">
        <v>0</v>
      </c>
      <c r="M363" s="360">
        <v>2016</v>
      </c>
      <c r="N363" s="361">
        <v>39633965.86</v>
      </c>
      <c r="O363" s="362">
        <v>42642</v>
      </c>
      <c r="P363" s="362">
        <v>42642</v>
      </c>
    </row>
    <row r="364" spans="1:16" ht="14.25">
      <c r="A364" s="356">
        <v>2016</v>
      </c>
      <c r="B364" s="357" t="s">
        <v>476</v>
      </c>
      <c r="C364" s="357" t="s">
        <v>477</v>
      </c>
      <c r="D364" s="358">
        <v>1021011</v>
      </c>
      <c r="E364" s="358">
        <v>1</v>
      </c>
      <c r="F364" s="358"/>
      <c r="G364" s="358">
        <v>620</v>
      </c>
      <c r="H364" s="358" t="s">
        <v>160</v>
      </c>
      <c r="I364" s="358"/>
      <c r="J364" s="358" t="s">
        <v>452</v>
      </c>
      <c r="K364" s="359" t="b">
        <f t="shared" si="15"/>
        <v>1</v>
      </c>
      <c r="L364" s="359">
        <v>6</v>
      </c>
      <c r="M364" s="360">
        <v>2022</v>
      </c>
      <c r="N364" s="361">
        <v>0</v>
      </c>
      <c r="O364" s="362">
        <v>42642</v>
      </c>
      <c r="P364" s="362">
        <v>42642</v>
      </c>
    </row>
    <row r="365" spans="1:16" ht="14.25">
      <c r="A365" s="356">
        <v>2016</v>
      </c>
      <c r="B365" s="357" t="s">
        <v>476</v>
      </c>
      <c r="C365" s="357" t="s">
        <v>477</v>
      </c>
      <c r="D365" s="358">
        <v>1021011</v>
      </c>
      <c r="E365" s="358">
        <v>1</v>
      </c>
      <c r="F365" s="358"/>
      <c r="G365" s="358">
        <v>620</v>
      </c>
      <c r="H365" s="358" t="s">
        <v>160</v>
      </c>
      <c r="I365" s="358"/>
      <c r="J365" s="358" t="s">
        <v>452</v>
      </c>
      <c r="K365" s="359" t="b">
        <f t="shared" si="15"/>
        <v>1</v>
      </c>
      <c r="L365" s="359">
        <v>1</v>
      </c>
      <c r="M365" s="360">
        <v>2017</v>
      </c>
      <c r="N365" s="361">
        <v>2757417.88</v>
      </c>
      <c r="O365" s="362">
        <v>42642</v>
      </c>
      <c r="P365" s="362">
        <v>42642</v>
      </c>
    </row>
    <row r="366" spans="1:16" ht="14.25">
      <c r="A366" s="356">
        <v>2016</v>
      </c>
      <c r="B366" s="357" t="s">
        <v>476</v>
      </c>
      <c r="C366" s="357" t="s">
        <v>477</v>
      </c>
      <c r="D366" s="358">
        <v>1021011</v>
      </c>
      <c r="E366" s="358">
        <v>1</v>
      </c>
      <c r="F366" s="358"/>
      <c r="G366" s="358">
        <v>620</v>
      </c>
      <c r="H366" s="358" t="s">
        <v>160</v>
      </c>
      <c r="I366" s="358"/>
      <c r="J366" s="358" t="s">
        <v>452</v>
      </c>
      <c r="K366" s="359" t="b">
        <f t="shared" si="15"/>
        <v>1</v>
      </c>
      <c r="L366" s="359">
        <v>4</v>
      </c>
      <c r="M366" s="360">
        <v>2020</v>
      </c>
      <c r="N366" s="361">
        <v>0</v>
      </c>
      <c r="O366" s="362">
        <v>42642</v>
      </c>
      <c r="P366" s="362">
        <v>42642</v>
      </c>
    </row>
    <row r="367" spans="1:16" ht="14.25">
      <c r="A367" s="356">
        <v>2016</v>
      </c>
      <c r="B367" s="357" t="s">
        <v>476</v>
      </c>
      <c r="C367" s="357" t="s">
        <v>477</v>
      </c>
      <c r="D367" s="358">
        <v>1021011</v>
      </c>
      <c r="E367" s="358">
        <v>1</v>
      </c>
      <c r="F367" s="358"/>
      <c r="G367" s="358">
        <v>620</v>
      </c>
      <c r="H367" s="358" t="s">
        <v>160</v>
      </c>
      <c r="I367" s="358"/>
      <c r="J367" s="358" t="s">
        <v>452</v>
      </c>
      <c r="K367" s="359" t="b">
        <f t="shared" si="15"/>
        <v>1</v>
      </c>
      <c r="L367" s="359">
        <v>2</v>
      </c>
      <c r="M367" s="360">
        <v>2018</v>
      </c>
      <c r="N367" s="361">
        <v>1600000</v>
      </c>
      <c r="O367" s="362">
        <v>42642</v>
      </c>
      <c r="P367" s="362">
        <v>42642</v>
      </c>
    </row>
    <row r="368" spans="1:16" ht="14.25">
      <c r="A368" s="356">
        <v>2016</v>
      </c>
      <c r="B368" s="357" t="s">
        <v>476</v>
      </c>
      <c r="C368" s="357" t="s">
        <v>477</v>
      </c>
      <c r="D368" s="358">
        <v>1021011</v>
      </c>
      <c r="E368" s="358">
        <v>1</v>
      </c>
      <c r="F368" s="358"/>
      <c r="G368" s="358">
        <v>620</v>
      </c>
      <c r="H368" s="358" t="s">
        <v>160</v>
      </c>
      <c r="I368" s="358"/>
      <c r="J368" s="358" t="s">
        <v>452</v>
      </c>
      <c r="K368" s="359" t="b">
        <f t="shared" si="15"/>
        <v>1</v>
      </c>
      <c r="L368" s="359">
        <v>8</v>
      </c>
      <c r="M368" s="360">
        <v>2024</v>
      </c>
      <c r="N368" s="361">
        <v>0</v>
      </c>
      <c r="O368" s="362">
        <v>42642</v>
      </c>
      <c r="P368" s="362">
        <v>42642</v>
      </c>
    </row>
    <row r="369" spans="1:16" ht="14.25">
      <c r="A369" s="356">
        <v>2016</v>
      </c>
      <c r="B369" s="357" t="s">
        <v>476</v>
      </c>
      <c r="C369" s="357" t="s">
        <v>477</v>
      </c>
      <c r="D369" s="358">
        <v>1021011</v>
      </c>
      <c r="E369" s="358">
        <v>1</v>
      </c>
      <c r="F369" s="358"/>
      <c r="G369" s="358">
        <v>620</v>
      </c>
      <c r="H369" s="358" t="s">
        <v>160</v>
      </c>
      <c r="I369" s="358"/>
      <c r="J369" s="358" t="s">
        <v>452</v>
      </c>
      <c r="K369" s="359" t="b">
        <f t="shared" si="15"/>
        <v>1</v>
      </c>
      <c r="L369" s="359">
        <v>3</v>
      </c>
      <c r="M369" s="360">
        <v>2019</v>
      </c>
      <c r="N369" s="361">
        <v>1466000</v>
      </c>
      <c r="O369" s="362">
        <v>42642</v>
      </c>
      <c r="P369" s="362">
        <v>42642</v>
      </c>
    </row>
    <row r="370" spans="1:16" ht="14.25">
      <c r="A370" s="356">
        <v>2016</v>
      </c>
      <c r="B370" s="357" t="s">
        <v>476</v>
      </c>
      <c r="C370" s="357" t="s">
        <v>477</v>
      </c>
      <c r="D370" s="358">
        <v>1021011</v>
      </c>
      <c r="E370" s="358">
        <v>1</v>
      </c>
      <c r="F370" s="358"/>
      <c r="G370" s="358">
        <v>620</v>
      </c>
      <c r="H370" s="358" t="s">
        <v>160</v>
      </c>
      <c r="I370" s="358"/>
      <c r="J370" s="358" t="s">
        <v>452</v>
      </c>
      <c r="K370" s="359" t="b">
        <f t="shared" si="15"/>
        <v>1</v>
      </c>
      <c r="L370" s="359">
        <v>5</v>
      </c>
      <c r="M370" s="360">
        <v>2021</v>
      </c>
      <c r="N370" s="361">
        <v>0</v>
      </c>
      <c r="O370" s="362">
        <v>42642</v>
      </c>
      <c r="P370" s="362">
        <v>42642</v>
      </c>
    </row>
    <row r="371" spans="1:16" ht="14.25">
      <c r="A371" s="356">
        <v>2016</v>
      </c>
      <c r="B371" s="357" t="s">
        <v>476</v>
      </c>
      <c r="C371" s="357" t="s">
        <v>477</v>
      </c>
      <c r="D371" s="358">
        <v>1021011</v>
      </c>
      <c r="E371" s="358">
        <v>1</v>
      </c>
      <c r="F371" s="358"/>
      <c r="G371" s="358">
        <v>620</v>
      </c>
      <c r="H371" s="358" t="s">
        <v>160</v>
      </c>
      <c r="I371" s="358"/>
      <c r="J371" s="358" t="s">
        <v>452</v>
      </c>
      <c r="K371" s="359" t="b">
        <f t="shared" si="15"/>
        <v>1</v>
      </c>
      <c r="L371" s="359">
        <v>0</v>
      </c>
      <c r="M371" s="360">
        <v>2016</v>
      </c>
      <c r="N371" s="361">
        <v>370000</v>
      </c>
      <c r="O371" s="362">
        <v>42642</v>
      </c>
      <c r="P371" s="362">
        <v>42642</v>
      </c>
    </row>
    <row r="372" spans="1:16" ht="14.25">
      <c r="A372" s="356">
        <v>2016</v>
      </c>
      <c r="B372" s="357" t="s">
        <v>476</v>
      </c>
      <c r="C372" s="357" t="s">
        <v>477</v>
      </c>
      <c r="D372" s="358">
        <v>1021011</v>
      </c>
      <c r="E372" s="358">
        <v>1</v>
      </c>
      <c r="F372" s="358"/>
      <c r="G372" s="358">
        <v>620</v>
      </c>
      <c r="H372" s="358" t="s">
        <v>160</v>
      </c>
      <c r="I372" s="358"/>
      <c r="J372" s="358" t="s">
        <v>452</v>
      </c>
      <c r="K372" s="359" t="b">
        <f t="shared" si="15"/>
        <v>1</v>
      </c>
      <c r="L372" s="359">
        <v>7</v>
      </c>
      <c r="M372" s="360">
        <v>2023</v>
      </c>
      <c r="N372" s="361">
        <v>0</v>
      </c>
      <c r="O372" s="362">
        <v>42642</v>
      </c>
      <c r="P372" s="362">
        <v>42642</v>
      </c>
    </row>
    <row r="373" spans="1:16" ht="14.25">
      <c r="A373" s="356">
        <v>2016</v>
      </c>
      <c r="B373" s="357" t="s">
        <v>476</v>
      </c>
      <c r="C373" s="357" t="s">
        <v>477</v>
      </c>
      <c r="D373" s="358">
        <v>1021011</v>
      </c>
      <c r="E373" s="358">
        <v>1</v>
      </c>
      <c r="F373" s="358"/>
      <c r="G373" s="358">
        <v>950</v>
      </c>
      <c r="H373" s="358">
        <v>15</v>
      </c>
      <c r="I373" s="358"/>
      <c r="J373" s="358" t="s">
        <v>270</v>
      </c>
      <c r="K373" s="359" t="b">
        <f t="shared" si="15"/>
        <v>1</v>
      </c>
      <c r="L373" s="359">
        <v>4</v>
      </c>
      <c r="M373" s="360">
        <v>2020</v>
      </c>
      <c r="N373" s="361">
        <v>0</v>
      </c>
      <c r="O373" s="362">
        <v>42642</v>
      </c>
      <c r="P373" s="362">
        <v>42642</v>
      </c>
    </row>
    <row r="374" spans="1:16" ht="14.25">
      <c r="A374" s="356">
        <v>2016</v>
      </c>
      <c r="B374" s="357" t="s">
        <v>476</v>
      </c>
      <c r="C374" s="357" t="s">
        <v>477</v>
      </c>
      <c r="D374" s="358">
        <v>1021011</v>
      </c>
      <c r="E374" s="358">
        <v>1</v>
      </c>
      <c r="F374" s="358"/>
      <c r="G374" s="358">
        <v>950</v>
      </c>
      <c r="H374" s="358">
        <v>15</v>
      </c>
      <c r="I374" s="358"/>
      <c r="J374" s="358" t="s">
        <v>270</v>
      </c>
      <c r="K374" s="359" t="b">
        <f t="shared" si="15"/>
        <v>1</v>
      </c>
      <c r="L374" s="359">
        <v>2</v>
      </c>
      <c r="M374" s="360">
        <v>2018</v>
      </c>
      <c r="N374" s="361">
        <v>0</v>
      </c>
      <c r="O374" s="362">
        <v>42642</v>
      </c>
      <c r="P374" s="362">
        <v>42642</v>
      </c>
    </row>
    <row r="375" spans="1:16" ht="14.25">
      <c r="A375" s="356">
        <v>2016</v>
      </c>
      <c r="B375" s="357" t="s">
        <v>476</v>
      </c>
      <c r="C375" s="357" t="s">
        <v>477</v>
      </c>
      <c r="D375" s="358">
        <v>1021011</v>
      </c>
      <c r="E375" s="358">
        <v>1</v>
      </c>
      <c r="F375" s="358"/>
      <c r="G375" s="358">
        <v>950</v>
      </c>
      <c r="H375" s="358">
        <v>15</v>
      </c>
      <c r="I375" s="358"/>
      <c r="J375" s="358" t="s">
        <v>270</v>
      </c>
      <c r="K375" s="359" t="b">
        <f t="shared" si="15"/>
        <v>1</v>
      </c>
      <c r="L375" s="359">
        <v>6</v>
      </c>
      <c r="M375" s="360">
        <v>2022</v>
      </c>
      <c r="N375" s="361">
        <v>0</v>
      </c>
      <c r="O375" s="362">
        <v>42642</v>
      </c>
      <c r="P375" s="362">
        <v>42642</v>
      </c>
    </row>
    <row r="376" spans="1:16" ht="14.25">
      <c r="A376" s="356">
        <v>2016</v>
      </c>
      <c r="B376" s="357" t="s">
        <v>476</v>
      </c>
      <c r="C376" s="357" t="s">
        <v>477</v>
      </c>
      <c r="D376" s="358">
        <v>1021011</v>
      </c>
      <c r="E376" s="358">
        <v>1</v>
      </c>
      <c r="F376" s="358"/>
      <c r="G376" s="358">
        <v>950</v>
      </c>
      <c r="H376" s="358">
        <v>15</v>
      </c>
      <c r="I376" s="358"/>
      <c r="J376" s="358" t="s">
        <v>270</v>
      </c>
      <c r="K376" s="359" t="b">
        <f t="shared" si="15"/>
        <v>1</v>
      </c>
      <c r="L376" s="359">
        <v>1</v>
      </c>
      <c r="M376" s="360">
        <v>2017</v>
      </c>
      <c r="N376" s="361">
        <v>0</v>
      </c>
      <c r="O376" s="362">
        <v>42642</v>
      </c>
      <c r="P376" s="362">
        <v>42642</v>
      </c>
    </row>
    <row r="377" spans="1:16" ht="14.25">
      <c r="A377" s="356">
        <v>2016</v>
      </c>
      <c r="B377" s="357" t="s">
        <v>476</v>
      </c>
      <c r="C377" s="357" t="s">
        <v>477</v>
      </c>
      <c r="D377" s="358">
        <v>1021011</v>
      </c>
      <c r="E377" s="358">
        <v>1</v>
      </c>
      <c r="F377" s="358"/>
      <c r="G377" s="358">
        <v>950</v>
      </c>
      <c r="H377" s="358">
        <v>15</v>
      </c>
      <c r="I377" s="358"/>
      <c r="J377" s="358" t="s">
        <v>270</v>
      </c>
      <c r="K377" s="359" t="b">
        <f t="shared" si="15"/>
        <v>1</v>
      </c>
      <c r="L377" s="359">
        <v>3</v>
      </c>
      <c r="M377" s="360">
        <v>2019</v>
      </c>
      <c r="N377" s="361">
        <v>0</v>
      </c>
      <c r="O377" s="362">
        <v>42642</v>
      </c>
      <c r="P377" s="362">
        <v>42642</v>
      </c>
    </row>
    <row r="378" spans="1:16" ht="14.25">
      <c r="A378" s="356">
        <v>2016</v>
      </c>
      <c r="B378" s="357" t="s">
        <v>476</v>
      </c>
      <c r="C378" s="357" t="s">
        <v>477</v>
      </c>
      <c r="D378" s="358">
        <v>1021011</v>
      </c>
      <c r="E378" s="358">
        <v>1</v>
      </c>
      <c r="F378" s="358"/>
      <c r="G378" s="358">
        <v>950</v>
      </c>
      <c r="H378" s="358">
        <v>15</v>
      </c>
      <c r="I378" s="358"/>
      <c r="J378" s="358" t="s">
        <v>270</v>
      </c>
      <c r="K378" s="359" t="b">
        <f t="shared" si="15"/>
        <v>1</v>
      </c>
      <c r="L378" s="359">
        <v>0</v>
      </c>
      <c r="M378" s="360">
        <v>2016</v>
      </c>
      <c r="N378" s="361">
        <v>0</v>
      </c>
      <c r="O378" s="362">
        <v>42642</v>
      </c>
      <c r="P378" s="362">
        <v>42642</v>
      </c>
    </row>
    <row r="379" spans="1:16" ht="14.25">
      <c r="A379" s="356">
        <v>2016</v>
      </c>
      <c r="B379" s="357" t="s">
        <v>476</v>
      </c>
      <c r="C379" s="357" t="s">
        <v>477</v>
      </c>
      <c r="D379" s="358">
        <v>1021011</v>
      </c>
      <c r="E379" s="358">
        <v>1</v>
      </c>
      <c r="F379" s="358"/>
      <c r="G379" s="358">
        <v>950</v>
      </c>
      <c r="H379" s="358">
        <v>15</v>
      </c>
      <c r="I379" s="358"/>
      <c r="J379" s="358" t="s">
        <v>270</v>
      </c>
      <c r="K379" s="359" t="b">
        <f t="shared" si="15"/>
        <v>1</v>
      </c>
      <c r="L379" s="359">
        <v>5</v>
      </c>
      <c r="M379" s="360">
        <v>2021</v>
      </c>
      <c r="N379" s="361">
        <v>0</v>
      </c>
      <c r="O379" s="362">
        <v>42642</v>
      </c>
      <c r="P379" s="362">
        <v>42642</v>
      </c>
    </row>
    <row r="380" spans="1:16" ht="14.25">
      <c r="A380" s="356">
        <v>2016</v>
      </c>
      <c r="B380" s="357" t="s">
        <v>476</v>
      </c>
      <c r="C380" s="357" t="s">
        <v>477</v>
      </c>
      <c r="D380" s="358">
        <v>1021011</v>
      </c>
      <c r="E380" s="358">
        <v>1</v>
      </c>
      <c r="F380" s="358"/>
      <c r="G380" s="358">
        <v>950</v>
      </c>
      <c r="H380" s="358">
        <v>15</v>
      </c>
      <c r="I380" s="358"/>
      <c r="J380" s="358" t="s">
        <v>270</v>
      </c>
      <c r="K380" s="359" t="b">
        <f t="shared" si="15"/>
        <v>1</v>
      </c>
      <c r="L380" s="359">
        <v>8</v>
      </c>
      <c r="M380" s="360">
        <v>2024</v>
      </c>
      <c r="N380" s="361">
        <v>0</v>
      </c>
      <c r="O380" s="362">
        <v>42642</v>
      </c>
      <c r="P380" s="362">
        <v>42642</v>
      </c>
    </row>
    <row r="381" spans="1:16" ht="14.25">
      <c r="A381" s="356">
        <v>2016</v>
      </c>
      <c r="B381" s="357" t="s">
        <v>476</v>
      </c>
      <c r="C381" s="357" t="s">
        <v>477</v>
      </c>
      <c r="D381" s="358">
        <v>1021011</v>
      </c>
      <c r="E381" s="358">
        <v>1</v>
      </c>
      <c r="F381" s="358"/>
      <c r="G381" s="358">
        <v>950</v>
      </c>
      <c r="H381" s="358">
        <v>15</v>
      </c>
      <c r="I381" s="358"/>
      <c r="J381" s="358" t="s">
        <v>270</v>
      </c>
      <c r="K381" s="359" t="b">
        <f t="shared" si="15"/>
        <v>1</v>
      </c>
      <c r="L381" s="359">
        <v>7</v>
      </c>
      <c r="M381" s="360">
        <v>2023</v>
      </c>
      <c r="N381" s="361">
        <v>0</v>
      </c>
      <c r="O381" s="362">
        <v>42642</v>
      </c>
      <c r="P381" s="362">
        <v>42642</v>
      </c>
    </row>
    <row r="382" spans="1:16" ht="14.25">
      <c r="A382" s="356">
        <v>2016</v>
      </c>
      <c r="B382" s="357" t="s">
        <v>476</v>
      </c>
      <c r="C382" s="357" t="s">
        <v>477</v>
      </c>
      <c r="D382" s="358">
        <v>1021011</v>
      </c>
      <c r="E382" s="358">
        <v>1</v>
      </c>
      <c r="F382" s="358"/>
      <c r="G382" s="358">
        <v>470</v>
      </c>
      <c r="H382" s="358">
        <v>9.1</v>
      </c>
      <c r="I382" s="358" t="s">
        <v>433</v>
      </c>
      <c r="J382" s="358" t="s">
        <v>446</v>
      </c>
      <c r="K382" s="359" t="b">
        <f t="shared" si="15"/>
        <v>1</v>
      </c>
      <c r="L382" s="359">
        <v>0</v>
      </c>
      <c r="M382" s="360">
        <v>2016</v>
      </c>
      <c r="N382" s="361">
        <v>0.0424</v>
      </c>
      <c r="O382" s="362">
        <v>42642</v>
      </c>
      <c r="P382" s="362">
        <v>42642</v>
      </c>
    </row>
    <row r="383" spans="1:16" ht="14.25">
      <c r="A383" s="356">
        <v>2016</v>
      </c>
      <c r="B383" s="357" t="s">
        <v>476</v>
      </c>
      <c r="C383" s="357" t="s">
        <v>477</v>
      </c>
      <c r="D383" s="358">
        <v>1021011</v>
      </c>
      <c r="E383" s="358">
        <v>1</v>
      </c>
      <c r="F383" s="358"/>
      <c r="G383" s="358">
        <v>470</v>
      </c>
      <c r="H383" s="358">
        <v>9.1</v>
      </c>
      <c r="I383" s="358" t="s">
        <v>433</v>
      </c>
      <c r="J383" s="358" t="s">
        <v>446</v>
      </c>
      <c r="K383" s="359" t="b">
        <f t="shared" si="15"/>
        <v>1</v>
      </c>
      <c r="L383" s="359">
        <v>5</v>
      </c>
      <c r="M383" s="360">
        <v>2021</v>
      </c>
      <c r="N383" s="361">
        <v>0.0626</v>
      </c>
      <c r="O383" s="362">
        <v>42642</v>
      </c>
      <c r="P383" s="362">
        <v>42642</v>
      </c>
    </row>
    <row r="384" spans="1:16" ht="14.25">
      <c r="A384" s="356">
        <v>2016</v>
      </c>
      <c r="B384" s="357" t="s">
        <v>476</v>
      </c>
      <c r="C384" s="357" t="s">
        <v>477</v>
      </c>
      <c r="D384" s="358">
        <v>1021011</v>
      </c>
      <c r="E384" s="358">
        <v>1</v>
      </c>
      <c r="F384" s="358"/>
      <c r="G384" s="358">
        <v>470</v>
      </c>
      <c r="H384" s="358">
        <v>9.1</v>
      </c>
      <c r="I384" s="358" t="s">
        <v>433</v>
      </c>
      <c r="J384" s="358" t="s">
        <v>446</v>
      </c>
      <c r="K384" s="359" t="b">
        <f t="shared" si="15"/>
        <v>1</v>
      </c>
      <c r="L384" s="359">
        <v>6</v>
      </c>
      <c r="M384" s="360">
        <v>2022</v>
      </c>
      <c r="N384" s="361">
        <v>0.0601</v>
      </c>
      <c r="O384" s="362">
        <v>42642</v>
      </c>
      <c r="P384" s="362">
        <v>42642</v>
      </c>
    </row>
    <row r="385" spans="1:16" ht="14.25">
      <c r="A385" s="356">
        <v>2016</v>
      </c>
      <c r="B385" s="357" t="s">
        <v>476</v>
      </c>
      <c r="C385" s="357" t="s">
        <v>477</v>
      </c>
      <c r="D385" s="358">
        <v>1021011</v>
      </c>
      <c r="E385" s="358">
        <v>1</v>
      </c>
      <c r="F385" s="358"/>
      <c r="G385" s="358">
        <v>470</v>
      </c>
      <c r="H385" s="358">
        <v>9.1</v>
      </c>
      <c r="I385" s="358" t="s">
        <v>433</v>
      </c>
      <c r="J385" s="358" t="s">
        <v>446</v>
      </c>
      <c r="K385" s="359" t="b">
        <f t="shared" si="15"/>
        <v>1</v>
      </c>
      <c r="L385" s="359">
        <v>1</v>
      </c>
      <c r="M385" s="360">
        <v>2017</v>
      </c>
      <c r="N385" s="361">
        <v>0.0532</v>
      </c>
      <c r="O385" s="362">
        <v>42642</v>
      </c>
      <c r="P385" s="362">
        <v>42642</v>
      </c>
    </row>
    <row r="386" spans="1:16" ht="14.25">
      <c r="A386" s="356">
        <v>2016</v>
      </c>
      <c r="B386" s="357" t="s">
        <v>476</v>
      </c>
      <c r="C386" s="357" t="s">
        <v>477</v>
      </c>
      <c r="D386" s="358">
        <v>1021011</v>
      </c>
      <c r="E386" s="358">
        <v>1</v>
      </c>
      <c r="F386" s="358"/>
      <c r="G386" s="358">
        <v>470</v>
      </c>
      <c r="H386" s="358">
        <v>9.1</v>
      </c>
      <c r="I386" s="358" t="s">
        <v>433</v>
      </c>
      <c r="J386" s="358" t="s">
        <v>446</v>
      </c>
      <c r="K386" s="359" t="b">
        <f t="shared" si="15"/>
        <v>1</v>
      </c>
      <c r="L386" s="359">
        <v>2</v>
      </c>
      <c r="M386" s="360">
        <v>2018</v>
      </c>
      <c r="N386" s="361">
        <v>0.0581</v>
      </c>
      <c r="O386" s="362">
        <v>42642</v>
      </c>
      <c r="P386" s="362">
        <v>42642</v>
      </c>
    </row>
    <row r="387" spans="1:16" ht="14.25">
      <c r="A387" s="356">
        <v>2016</v>
      </c>
      <c r="B387" s="357" t="s">
        <v>476</v>
      </c>
      <c r="C387" s="357" t="s">
        <v>477</v>
      </c>
      <c r="D387" s="358">
        <v>1021011</v>
      </c>
      <c r="E387" s="358">
        <v>1</v>
      </c>
      <c r="F387" s="358"/>
      <c r="G387" s="358">
        <v>470</v>
      </c>
      <c r="H387" s="358">
        <v>9.1</v>
      </c>
      <c r="I387" s="358" t="s">
        <v>433</v>
      </c>
      <c r="J387" s="358" t="s">
        <v>446</v>
      </c>
      <c r="K387" s="359" t="b">
        <f t="shared" si="15"/>
        <v>1</v>
      </c>
      <c r="L387" s="359">
        <v>3</v>
      </c>
      <c r="M387" s="360">
        <v>2019</v>
      </c>
      <c r="N387" s="361">
        <v>0.0604</v>
      </c>
      <c r="O387" s="362">
        <v>42642</v>
      </c>
      <c r="P387" s="362">
        <v>42642</v>
      </c>
    </row>
    <row r="388" spans="1:16" ht="14.25">
      <c r="A388" s="356">
        <v>2016</v>
      </c>
      <c r="B388" s="357" t="s">
        <v>476</v>
      </c>
      <c r="C388" s="357" t="s">
        <v>477</v>
      </c>
      <c r="D388" s="358">
        <v>1021011</v>
      </c>
      <c r="E388" s="358">
        <v>1</v>
      </c>
      <c r="F388" s="358"/>
      <c r="G388" s="358">
        <v>470</v>
      </c>
      <c r="H388" s="358">
        <v>9.1</v>
      </c>
      <c r="I388" s="358" t="s">
        <v>433</v>
      </c>
      <c r="J388" s="358" t="s">
        <v>446</v>
      </c>
      <c r="K388" s="359" t="b">
        <f t="shared" si="15"/>
        <v>1</v>
      </c>
      <c r="L388" s="359">
        <v>4</v>
      </c>
      <c r="M388" s="360">
        <v>2020</v>
      </c>
      <c r="N388" s="361">
        <v>0.0661</v>
      </c>
      <c r="O388" s="362">
        <v>42642</v>
      </c>
      <c r="P388" s="362">
        <v>42642</v>
      </c>
    </row>
    <row r="389" spans="1:16" ht="14.25">
      <c r="A389" s="356">
        <v>2016</v>
      </c>
      <c r="B389" s="357" t="s">
        <v>476</v>
      </c>
      <c r="C389" s="357" t="s">
        <v>477</v>
      </c>
      <c r="D389" s="358">
        <v>1021011</v>
      </c>
      <c r="E389" s="358">
        <v>1</v>
      </c>
      <c r="F389" s="358"/>
      <c r="G389" s="358">
        <v>470</v>
      </c>
      <c r="H389" s="358">
        <v>9.1</v>
      </c>
      <c r="I389" s="358" t="s">
        <v>433</v>
      </c>
      <c r="J389" s="358" t="s">
        <v>446</v>
      </c>
      <c r="K389" s="359" t="b">
        <f t="shared" si="15"/>
        <v>1</v>
      </c>
      <c r="L389" s="359">
        <v>8</v>
      </c>
      <c r="M389" s="360">
        <v>2024</v>
      </c>
      <c r="N389" s="361">
        <v>0.0496</v>
      </c>
      <c r="O389" s="362">
        <v>42642</v>
      </c>
      <c r="P389" s="362">
        <v>42642</v>
      </c>
    </row>
    <row r="390" spans="1:16" ht="14.25">
      <c r="A390" s="356">
        <v>2016</v>
      </c>
      <c r="B390" s="357" t="s">
        <v>476</v>
      </c>
      <c r="C390" s="357" t="s">
        <v>477</v>
      </c>
      <c r="D390" s="358">
        <v>1021011</v>
      </c>
      <c r="E390" s="358">
        <v>1</v>
      </c>
      <c r="F390" s="358"/>
      <c r="G390" s="358">
        <v>470</v>
      </c>
      <c r="H390" s="358">
        <v>9.1</v>
      </c>
      <c r="I390" s="358" t="s">
        <v>433</v>
      </c>
      <c r="J390" s="358" t="s">
        <v>446</v>
      </c>
      <c r="K390" s="359" t="b">
        <f t="shared" si="15"/>
        <v>1</v>
      </c>
      <c r="L390" s="359">
        <v>7</v>
      </c>
      <c r="M390" s="360">
        <v>2023</v>
      </c>
      <c r="N390" s="361">
        <v>0.0608</v>
      </c>
      <c r="O390" s="362">
        <v>42642</v>
      </c>
      <c r="P390" s="362">
        <v>42642</v>
      </c>
    </row>
    <row r="391" spans="1:16" ht="14.25">
      <c r="A391" s="356">
        <v>2016</v>
      </c>
      <c r="B391" s="357" t="s">
        <v>476</v>
      </c>
      <c r="C391" s="357" t="s">
        <v>477</v>
      </c>
      <c r="D391" s="358">
        <v>1021011</v>
      </c>
      <c r="E391" s="358">
        <v>1</v>
      </c>
      <c r="F391" s="358"/>
      <c r="G391" s="358">
        <v>890</v>
      </c>
      <c r="H391" s="358">
        <v>14.2</v>
      </c>
      <c r="I391" s="358"/>
      <c r="J391" s="358" t="s">
        <v>253</v>
      </c>
      <c r="K391" s="359" t="b">
        <f t="shared" si="15"/>
        <v>1</v>
      </c>
      <c r="L391" s="359">
        <v>8</v>
      </c>
      <c r="M391" s="360">
        <v>2024</v>
      </c>
      <c r="N391" s="361">
        <v>0</v>
      </c>
      <c r="O391" s="362">
        <v>42642</v>
      </c>
      <c r="P391" s="362">
        <v>42642</v>
      </c>
    </row>
    <row r="392" spans="1:16" ht="14.25">
      <c r="A392" s="356">
        <v>2016</v>
      </c>
      <c r="B392" s="357" t="s">
        <v>476</v>
      </c>
      <c r="C392" s="357" t="s">
        <v>477</v>
      </c>
      <c r="D392" s="358">
        <v>1021011</v>
      </c>
      <c r="E392" s="358">
        <v>1</v>
      </c>
      <c r="F392" s="358"/>
      <c r="G392" s="358">
        <v>890</v>
      </c>
      <c r="H392" s="358">
        <v>14.2</v>
      </c>
      <c r="I392" s="358"/>
      <c r="J392" s="358" t="s">
        <v>253</v>
      </c>
      <c r="K392" s="359" t="b">
        <f t="shared" si="15"/>
        <v>1</v>
      </c>
      <c r="L392" s="359">
        <v>2</v>
      </c>
      <c r="M392" s="360">
        <v>2018</v>
      </c>
      <c r="N392" s="361">
        <v>0</v>
      </c>
      <c r="O392" s="362">
        <v>42642</v>
      </c>
      <c r="P392" s="362">
        <v>42642</v>
      </c>
    </row>
    <row r="393" spans="1:16" ht="14.25">
      <c r="A393" s="356">
        <v>2016</v>
      </c>
      <c r="B393" s="357" t="s">
        <v>476</v>
      </c>
      <c r="C393" s="357" t="s">
        <v>477</v>
      </c>
      <c r="D393" s="358">
        <v>1021011</v>
      </c>
      <c r="E393" s="358">
        <v>1</v>
      </c>
      <c r="F393" s="358"/>
      <c r="G393" s="358">
        <v>890</v>
      </c>
      <c r="H393" s="358">
        <v>14.2</v>
      </c>
      <c r="I393" s="358"/>
      <c r="J393" s="358" t="s">
        <v>253</v>
      </c>
      <c r="K393" s="359" t="b">
        <f t="shared" si="15"/>
        <v>1</v>
      </c>
      <c r="L393" s="359">
        <v>6</v>
      </c>
      <c r="M393" s="360">
        <v>2022</v>
      </c>
      <c r="N393" s="361">
        <v>0</v>
      </c>
      <c r="O393" s="362">
        <v>42642</v>
      </c>
      <c r="P393" s="362">
        <v>42642</v>
      </c>
    </row>
    <row r="394" spans="1:16" ht="14.25">
      <c r="A394" s="356">
        <v>2016</v>
      </c>
      <c r="B394" s="357" t="s">
        <v>476</v>
      </c>
      <c r="C394" s="357" t="s">
        <v>477</v>
      </c>
      <c r="D394" s="358">
        <v>1021011</v>
      </c>
      <c r="E394" s="358">
        <v>1</v>
      </c>
      <c r="F394" s="358"/>
      <c r="G394" s="358">
        <v>890</v>
      </c>
      <c r="H394" s="358">
        <v>14.2</v>
      </c>
      <c r="I394" s="358"/>
      <c r="J394" s="358" t="s">
        <v>253</v>
      </c>
      <c r="K394" s="359" t="b">
        <f t="shared" si="15"/>
        <v>1</v>
      </c>
      <c r="L394" s="359">
        <v>5</v>
      </c>
      <c r="M394" s="360">
        <v>2021</v>
      </c>
      <c r="N394" s="361">
        <v>0</v>
      </c>
      <c r="O394" s="362">
        <v>42642</v>
      </c>
      <c r="P394" s="362">
        <v>42642</v>
      </c>
    </row>
    <row r="395" spans="1:16" ht="14.25">
      <c r="A395" s="356">
        <v>2016</v>
      </c>
      <c r="B395" s="357" t="s">
        <v>476</v>
      </c>
      <c r="C395" s="357" t="s">
        <v>477</v>
      </c>
      <c r="D395" s="358">
        <v>1021011</v>
      </c>
      <c r="E395" s="358">
        <v>1</v>
      </c>
      <c r="F395" s="358"/>
      <c r="G395" s="358">
        <v>890</v>
      </c>
      <c r="H395" s="358">
        <v>14.2</v>
      </c>
      <c r="I395" s="358"/>
      <c r="J395" s="358" t="s">
        <v>253</v>
      </c>
      <c r="K395" s="359" t="b">
        <f t="shared" si="15"/>
        <v>1</v>
      </c>
      <c r="L395" s="359">
        <v>0</v>
      </c>
      <c r="M395" s="360">
        <v>2016</v>
      </c>
      <c r="N395" s="361">
        <v>0</v>
      </c>
      <c r="O395" s="362">
        <v>42642</v>
      </c>
      <c r="P395" s="362">
        <v>42642</v>
      </c>
    </row>
    <row r="396" spans="1:16" ht="14.25">
      <c r="A396" s="356">
        <v>2016</v>
      </c>
      <c r="B396" s="357" t="s">
        <v>476</v>
      </c>
      <c r="C396" s="357" t="s">
        <v>477</v>
      </c>
      <c r="D396" s="358">
        <v>1021011</v>
      </c>
      <c r="E396" s="358">
        <v>1</v>
      </c>
      <c r="F396" s="358"/>
      <c r="G396" s="358">
        <v>890</v>
      </c>
      <c r="H396" s="358">
        <v>14.2</v>
      </c>
      <c r="I396" s="358"/>
      <c r="J396" s="358" t="s">
        <v>253</v>
      </c>
      <c r="K396" s="359" t="b">
        <f t="shared" si="15"/>
        <v>1</v>
      </c>
      <c r="L396" s="359">
        <v>3</v>
      </c>
      <c r="M396" s="360">
        <v>2019</v>
      </c>
      <c r="N396" s="361">
        <v>0</v>
      </c>
      <c r="O396" s="362">
        <v>42642</v>
      </c>
      <c r="P396" s="362">
        <v>42642</v>
      </c>
    </row>
    <row r="397" spans="1:16" ht="14.25">
      <c r="A397" s="356">
        <v>2016</v>
      </c>
      <c r="B397" s="357" t="s">
        <v>476</v>
      </c>
      <c r="C397" s="357" t="s">
        <v>477</v>
      </c>
      <c r="D397" s="358">
        <v>1021011</v>
      </c>
      <c r="E397" s="358">
        <v>1</v>
      </c>
      <c r="F397" s="358"/>
      <c r="G397" s="358">
        <v>890</v>
      </c>
      <c r="H397" s="358">
        <v>14.2</v>
      </c>
      <c r="I397" s="358"/>
      <c r="J397" s="358" t="s">
        <v>253</v>
      </c>
      <c r="K397" s="359" t="b">
        <f t="shared" si="15"/>
        <v>1</v>
      </c>
      <c r="L397" s="359">
        <v>1</v>
      </c>
      <c r="M397" s="360">
        <v>2017</v>
      </c>
      <c r="N397" s="361">
        <v>0</v>
      </c>
      <c r="O397" s="362">
        <v>42642</v>
      </c>
      <c r="P397" s="362">
        <v>42642</v>
      </c>
    </row>
    <row r="398" spans="1:16" ht="14.25">
      <c r="A398" s="356">
        <v>2016</v>
      </c>
      <c r="B398" s="357" t="s">
        <v>476</v>
      </c>
      <c r="C398" s="357" t="s">
        <v>477</v>
      </c>
      <c r="D398" s="358">
        <v>1021011</v>
      </c>
      <c r="E398" s="358">
        <v>1</v>
      </c>
      <c r="F398" s="358"/>
      <c r="G398" s="358">
        <v>890</v>
      </c>
      <c r="H398" s="358">
        <v>14.2</v>
      </c>
      <c r="I398" s="358"/>
      <c r="J398" s="358" t="s">
        <v>253</v>
      </c>
      <c r="K398" s="359" t="b">
        <f t="shared" si="15"/>
        <v>1</v>
      </c>
      <c r="L398" s="359">
        <v>4</v>
      </c>
      <c r="M398" s="360">
        <v>2020</v>
      </c>
      <c r="N398" s="361">
        <v>0</v>
      </c>
      <c r="O398" s="362">
        <v>42642</v>
      </c>
      <c r="P398" s="362">
        <v>42642</v>
      </c>
    </row>
    <row r="399" spans="1:16" ht="14.25">
      <c r="A399" s="356">
        <v>2016</v>
      </c>
      <c r="B399" s="357" t="s">
        <v>476</v>
      </c>
      <c r="C399" s="357" t="s">
        <v>477</v>
      </c>
      <c r="D399" s="358">
        <v>1021011</v>
      </c>
      <c r="E399" s="358">
        <v>1</v>
      </c>
      <c r="F399" s="358"/>
      <c r="G399" s="358">
        <v>890</v>
      </c>
      <c r="H399" s="358">
        <v>14.2</v>
      </c>
      <c r="I399" s="358"/>
      <c r="J399" s="358" t="s">
        <v>253</v>
      </c>
      <c r="K399" s="359" t="b">
        <f t="shared" si="15"/>
        <v>1</v>
      </c>
      <c r="L399" s="359">
        <v>7</v>
      </c>
      <c r="M399" s="360">
        <v>2023</v>
      </c>
      <c r="N399" s="361">
        <v>0</v>
      </c>
      <c r="O399" s="362">
        <v>42642</v>
      </c>
      <c r="P399" s="362">
        <v>42642</v>
      </c>
    </row>
    <row r="400" spans="1:16" ht="14.25">
      <c r="A400" s="356">
        <v>2016</v>
      </c>
      <c r="B400" s="357" t="s">
        <v>476</v>
      </c>
      <c r="C400" s="357" t="s">
        <v>477</v>
      </c>
      <c r="D400" s="358">
        <v>1021011</v>
      </c>
      <c r="E400" s="358">
        <v>1</v>
      </c>
      <c r="F400" s="358"/>
      <c r="G400" s="358">
        <v>300</v>
      </c>
      <c r="H400" s="358">
        <v>5</v>
      </c>
      <c r="I400" s="358" t="s">
        <v>429</v>
      </c>
      <c r="J400" s="358" t="s">
        <v>88</v>
      </c>
      <c r="K400" s="359" t="b">
        <f aca="true" t="shared" si="16" ref="K400:K408">FALSE</f>
        <v>0</v>
      </c>
      <c r="L400" s="359">
        <v>5</v>
      </c>
      <c r="M400" s="360">
        <v>2021</v>
      </c>
      <c r="N400" s="361">
        <v>2210004</v>
      </c>
      <c r="O400" s="362">
        <v>42642</v>
      </c>
      <c r="P400" s="362">
        <v>42642</v>
      </c>
    </row>
    <row r="401" spans="1:16" ht="14.25">
      <c r="A401" s="356">
        <v>2016</v>
      </c>
      <c r="B401" s="357" t="s">
        <v>476</v>
      </c>
      <c r="C401" s="357" t="s">
        <v>477</v>
      </c>
      <c r="D401" s="358">
        <v>1021011</v>
      </c>
      <c r="E401" s="358">
        <v>1</v>
      </c>
      <c r="F401" s="358"/>
      <c r="G401" s="358">
        <v>300</v>
      </c>
      <c r="H401" s="358">
        <v>5</v>
      </c>
      <c r="I401" s="358" t="s">
        <v>429</v>
      </c>
      <c r="J401" s="358" t="s">
        <v>88</v>
      </c>
      <c r="K401" s="359" t="b">
        <f t="shared" si="16"/>
        <v>0</v>
      </c>
      <c r="L401" s="359">
        <v>7</v>
      </c>
      <c r="M401" s="360">
        <v>2023</v>
      </c>
      <c r="N401" s="361">
        <v>2418000</v>
      </c>
      <c r="O401" s="362">
        <v>42642</v>
      </c>
      <c r="P401" s="362">
        <v>42642</v>
      </c>
    </row>
    <row r="402" spans="1:16" ht="14.25">
      <c r="A402" s="356">
        <v>2016</v>
      </c>
      <c r="B402" s="357" t="s">
        <v>476</v>
      </c>
      <c r="C402" s="357" t="s">
        <v>477</v>
      </c>
      <c r="D402" s="358">
        <v>1021011</v>
      </c>
      <c r="E402" s="358">
        <v>1</v>
      </c>
      <c r="F402" s="358"/>
      <c r="G402" s="358">
        <v>300</v>
      </c>
      <c r="H402" s="358">
        <v>5</v>
      </c>
      <c r="I402" s="358" t="s">
        <v>429</v>
      </c>
      <c r="J402" s="358" t="s">
        <v>88</v>
      </c>
      <c r="K402" s="359" t="b">
        <f t="shared" si="16"/>
        <v>0</v>
      </c>
      <c r="L402" s="359">
        <v>1</v>
      </c>
      <c r="M402" s="360">
        <v>2017</v>
      </c>
      <c r="N402" s="361">
        <v>1478204</v>
      </c>
      <c r="O402" s="362">
        <v>42642</v>
      </c>
      <c r="P402" s="362">
        <v>42642</v>
      </c>
    </row>
    <row r="403" spans="1:16" ht="14.25">
      <c r="A403" s="356">
        <v>2016</v>
      </c>
      <c r="B403" s="357" t="s">
        <v>476</v>
      </c>
      <c r="C403" s="357" t="s">
        <v>477</v>
      </c>
      <c r="D403" s="358">
        <v>1021011</v>
      </c>
      <c r="E403" s="358">
        <v>1</v>
      </c>
      <c r="F403" s="358"/>
      <c r="G403" s="358">
        <v>300</v>
      </c>
      <c r="H403" s="358">
        <v>5</v>
      </c>
      <c r="I403" s="358" t="s">
        <v>429</v>
      </c>
      <c r="J403" s="358" t="s">
        <v>88</v>
      </c>
      <c r="K403" s="359" t="b">
        <f t="shared" si="16"/>
        <v>0</v>
      </c>
      <c r="L403" s="359">
        <v>6</v>
      </c>
      <c r="M403" s="360">
        <v>2022</v>
      </c>
      <c r="N403" s="361">
        <v>2250004</v>
      </c>
      <c r="O403" s="362">
        <v>42642</v>
      </c>
      <c r="P403" s="362">
        <v>42642</v>
      </c>
    </row>
    <row r="404" spans="1:16" ht="14.25">
      <c r="A404" s="356">
        <v>2016</v>
      </c>
      <c r="B404" s="357" t="s">
        <v>476</v>
      </c>
      <c r="C404" s="357" t="s">
        <v>477</v>
      </c>
      <c r="D404" s="358">
        <v>1021011</v>
      </c>
      <c r="E404" s="358">
        <v>1</v>
      </c>
      <c r="F404" s="358"/>
      <c r="G404" s="358">
        <v>300</v>
      </c>
      <c r="H404" s="358">
        <v>5</v>
      </c>
      <c r="I404" s="358" t="s">
        <v>429</v>
      </c>
      <c r="J404" s="358" t="s">
        <v>88</v>
      </c>
      <c r="K404" s="359" t="b">
        <f t="shared" si="16"/>
        <v>0</v>
      </c>
      <c r="L404" s="359">
        <v>4</v>
      </c>
      <c r="M404" s="360">
        <v>2020</v>
      </c>
      <c r="N404" s="361">
        <v>2210004</v>
      </c>
      <c r="O404" s="362">
        <v>42642</v>
      </c>
      <c r="P404" s="362">
        <v>42642</v>
      </c>
    </row>
    <row r="405" spans="1:16" ht="14.25">
      <c r="A405" s="356">
        <v>2016</v>
      </c>
      <c r="B405" s="357" t="s">
        <v>476</v>
      </c>
      <c r="C405" s="357" t="s">
        <v>477</v>
      </c>
      <c r="D405" s="358">
        <v>1021011</v>
      </c>
      <c r="E405" s="358">
        <v>1</v>
      </c>
      <c r="F405" s="358"/>
      <c r="G405" s="358">
        <v>300</v>
      </c>
      <c r="H405" s="358">
        <v>5</v>
      </c>
      <c r="I405" s="358" t="s">
        <v>429</v>
      </c>
      <c r="J405" s="358" t="s">
        <v>88</v>
      </c>
      <c r="K405" s="359" t="b">
        <f t="shared" si="16"/>
        <v>0</v>
      </c>
      <c r="L405" s="359">
        <v>2</v>
      </c>
      <c r="M405" s="360">
        <v>2018</v>
      </c>
      <c r="N405" s="361">
        <v>1678204</v>
      </c>
      <c r="O405" s="362">
        <v>42642</v>
      </c>
      <c r="P405" s="362">
        <v>42642</v>
      </c>
    </row>
    <row r="406" spans="1:16" ht="14.25">
      <c r="A406" s="356">
        <v>2016</v>
      </c>
      <c r="B406" s="357" t="s">
        <v>476</v>
      </c>
      <c r="C406" s="357" t="s">
        <v>477</v>
      </c>
      <c r="D406" s="358">
        <v>1021011</v>
      </c>
      <c r="E406" s="358">
        <v>1</v>
      </c>
      <c r="F406" s="358"/>
      <c r="G406" s="358">
        <v>300</v>
      </c>
      <c r="H406" s="358">
        <v>5</v>
      </c>
      <c r="I406" s="358" t="s">
        <v>429</v>
      </c>
      <c r="J406" s="358" t="s">
        <v>88</v>
      </c>
      <c r="K406" s="359" t="b">
        <f t="shared" si="16"/>
        <v>0</v>
      </c>
      <c r="L406" s="359">
        <v>8</v>
      </c>
      <c r="M406" s="360">
        <v>2024</v>
      </c>
      <c r="N406" s="361">
        <v>2065692</v>
      </c>
      <c r="O406" s="362">
        <v>42642</v>
      </c>
      <c r="P406" s="362">
        <v>42642</v>
      </c>
    </row>
    <row r="407" spans="1:16" ht="14.25">
      <c r="A407" s="356">
        <v>2016</v>
      </c>
      <c r="B407" s="357" t="s">
        <v>476</v>
      </c>
      <c r="C407" s="357" t="s">
        <v>477</v>
      </c>
      <c r="D407" s="358">
        <v>1021011</v>
      </c>
      <c r="E407" s="358">
        <v>1</v>
      </c>
      <c r="F407" s="358"/>
      <c r="G407" s="358">
        <v>300</v>
      </c>
      <c r="H407" s="358">
        <v>5</v>
      </c>
      <c r="I407" s="358" t="s">
        <v>429</v>
      </c>
      <c r="J407" s="358" t="s">
        <v>88</v>
      </c>
      <c r="K407" s="359" t="b">
        <f t="shared" si="16"/>
        <v>0</v>
      </c>
      <c r="L407" s="359">
        <v>3</v>
      </c>
      <c r="M407" s="360">
        <v>2019</v>
      </c>
      <c r="N407" s="361">
        <v>1860004</v>
      </c>
      <c r="O407" s="362">
        <v>42642</v>
      </c>
      <c r="P407" s="362">
        <v>42642</v>
      </c>
    </row>
    <row r="408" spans="1:16" ht="14.25">
      <c r="A408" s="356">
        <v>2016</v>
      </c>
      <c r="B408" s="357" t="s">
        <v>476</v>
      </c>
      <c r="C408" s="357" t="s">
        <v>477</v>
      </c>
      <c r="D408" s="358">
        <v>1021011</v>
      </c>
      <c r="E408" s="358">
        <v>1</v>
      </c>
      <c r="F408" s="358"/>
      <c r="G408" s="358">
        <v>300</v>
      </c>
      <c r="H408" s="358">
        <v>5</v>
      </c>
      <c r="I408" s="358" t="s">
        <v>429</v>
      </c>
      <c r="J408" s="358" t="s">
        <v>88</v>
      </c>
      <c r="K408" s="359" t="b">
        <f t="shared" si="16"/>
        <v>0</v>
      </c>
      <c r="L408" s="359">
        <v>0</v>
      </c>
      <c r="M408" s="360">
        <v>2016</v>
      </c>
      <c r="N408" s="361">
        <v>1215692</v>
      </c>
      <c r="O408" s="362">
        <v>42642</v>
      </c>
      <c r="P408" s="362">
        <v>42642</v>
      </c>
    </row>
    <row r="409" spans="1:16" ht="14.25">
      <c r="A409" s="356">
        <v>2016</v>
      </c>
      <c r="B409" s="357" t="s">
        <v>476</v>
      </c>
      <c r="C409" s="357" t="s">
        <v>477</v>
      </c>
      <c r="D409" s="358">
        <v>1021011</v>
      </c>
      <c r="E409" s="358">
        <v>1</v>
      </c>
      <c r="F409" s="358"/>
      <c r="G409" s="358">
        <v>840</v>
      </c>
      <c r="H409" s="358">
        <v>13.5</v>
      </c>
      <c r="I409" s="358"/>
      <c r="J409" s="358" t="s">
        <v>240</v>
      </c>
      <c r="K409" s="359" t="b">
        <f aca="true" t="shared" si="17" ref="K409:K426">TRUE</f>
        <v>1</v>
      </c>
      <c r="L409" s="359">
        <v>0</v>
      </c>
      <c r="M409" s="360">
        <v>2016</v>
      </c>
      <c r="N409" s="361">
        <v>0</v>
      </c>
      <c r="O409" s="362">
        <v>42642</v>
      </c>
      <c r="P409" s="362">
        <v>42642</v>
      </c>
    </row>
    <row r="410" spans="1:16" ht="14.25">
      <c r="A410" s="356">
        <v>2016</v>
      </c>
      <c r="B410" s="357" t="s">
        <v>476</v>
      </c>
      <c r="C410" s="357" t="s">
        <v>477</v>
      </c>
      <c r="D410" s="358">
        <v>1021011</v>
      </c>
      <c r="E410" s="358">
        <v>1</v>
      </c>
      <c r="F410" s="358"/>
      <c r="G410" s="358">
        <v>840</v>
      </c>
      <c r="H410" s="358">
        <v>13.5</v>
      </c>
      <c r="I410" s="358"/>
      <c r="J410" s="358" t="s">
        <v>240</v>
      </c>
      <c r="K410" s="359" t="b">
        <f t="shared" si="17"/>
        <v>1</v>
      </c>
      <c r="L410" s="359">
        <v>7</v>
      </c>
      <c r="M410" s="360">
        <v>2023</v>
      </c>
      <c r="N410" s="361">
        <v>0</v>
      </c>
      <c r="O410" s="362">
        <v>42642</v>
      </c>
      <c r="P410" s="362">
        <v>42642</v>
      </c>
    </row>
    <row r="411" spans="1:16" ht="14.25">
      <c r="A411" s="356">
        <v>2016</v>
      </c>
      <c r="B411" s="357" t="s">
        <v>476</v>
      </c>
      <c r="C411" s="357" t="s">
        <v>477</v>
      </c>
      <c r="D411" s="358">
        <v>1021011</v>
      </c>
      <c r="E411" s="358">
        <v>1</v>
      </c>
      <c r="F411" s="358"/>
      <c r="G411" s="358">
        <v>840</v>
      </c>
      <c r="H411" s="358">
        <v>13.5</v>
      </c>
      <c r="I411" s="358"/>
      <c r="J411" s="358" t="s">
        <v>240</v>
      </c>
      <c r="K411" s="359" t="b">
        <f t="shared" si="17"/>
        <v>1</v>
      </c>
      <c r="L411" s="359">
        <v>1</v>
      </c>
      <c r="M411" s="360">
        <v>2017</v>
      </c>
      <c r="N411" s="361">
        <v>0</v>
      </c>
      <c r="O411" s="362">
        <v>42642</v>
      </c>
      <c r="P411" s="362">
        <v>42642</v>
      </c>
    </row>
    <row r="412" spans="1:16" ht="14.25">
      <c r="A412" s="356">
        <v>2016</v>
      </c>
      <c r="B412" s="357" t="s">
        <v>476</v>
      </c>
      <c r="C412" s="357" t="s">
        <v>477</v>
      </c>
      <c r="D412" s="358">
        <v>1021011</v>
      </c>
      <c r="E412" s="358">
        <v>1</v>
      </c>
      <c r="F412" s="358"/>
      <c r="G412" s="358">
        <v>840</v>
      </c>
      <c r="H412" s="358">
        <v>13.5</v>
      </c>
      <c r="I412" s="358"/>
      <c r="J412" s="358" t="s">
        <v>240</v>
      </c>
      <c r="K412" s="359" t="b">
        <f t="shared" si="17"/>
        <v>1</v>
      </c>
      <c r="L412" s="359">
        <v>6</v>
      </c>
      <c r="M412" s="360">
        <v>2022</v>
      </c>
      <c r="N412" s="361">
        <v>0</v>
      </c>
      <c r="O412" s="362">
        <v>42642</v>
      </c>
      <c r="P412" s="362">
        <v>42642</v>
      </c>
    </row>
    <row r="413" spans="1:16" ht="14.25">
      <c r="A413" s="356">
        <v>2016</v>
      </c>
      <c r="B413" s="357" t="s">
        <v>476</v>
      </c>
      <c r="C413" s="357" t="s">
        <v>477</v>
      </c>
      <c r="D413" s="358">
        <v>1021011</v>
      </c>
      <c r="E413" s="358">
        <v>1</v>
      </c>
      <c r="F413" s="358"/>
      <c r="G413" s="358">
        <v>840</v>
      </c>
      <c r="H413" s="358">
        <v>13.5</v>
      </c>
      <c r="I413" s="358"/>
      <c r="J413" s="358" t="s">
        <v>240</v>
      </c>
      <c r="K413" s="359" t="b">
        <f t="shared" si="17"/>
        <v>1</v>
      </c>
      <c r="L413" s="359">
        <v>2</v>
      </c>
      <c r="M413" s="360">
        <v>2018</v>
      </c>
      <c r="N413" s="361">
        <v>0</v>
      </c>
      <c r="O413" s="362">
        <v>42642</v>
      </c>
      <c r="P413" s="362">
        <v>42642</v>
      </c>
    </row>
    <row r="414" spans="1:16" ht="14.25">
      <c r="A414" s="356">
        <v>2016</v>
      </c>
      <c r="B414" s="357" t="s">
        <v>476</v>
      </c>
      <c r="C414" s="357" t="s">
        <v>477</v>
      </c>
      <c r="D414" s="358">
        <v>1021011</v>
      </c>
      <c r="E414" s="358">
        <v>1</v>
      </c>
      <c r="F414" s="358"/>
      <c r="G414" s="358">
        <v>840</v>
      </c>
      <c r="H414" s="358">
        <v>13.5</v>
      </c>
      <c r="I414" s="358"/>
      <c r="J414" s="358" t="s">
        <v>240</v>
      </c>
      <c r="K414" s="359" t="b">
        <f t="shared" si="17"/>
        <v>1</v>
      </c>
      <c r="L414" s="359">
        <v>3</v>
      </c>
      <c r="M414" s="360">
        <v>2019</v>
      </c>
      <c r="N414" s="361">
        <v>0</v>
      </c>
      <c r="O414" s="362">
        <v>42642</v>
      </c>
      <c r="P414" s="362">
        <v>42642</v>
      </c>
    </row>
    <row r="415" spans="1:16" ht="14.25">
      <c r="A415" s="356">
        <v>2016</v>
      </c>
      <c r="B415" s="357" t="s">
        <v>476</v>
      </c>
      <c r="C415" s="357" t="s">
        <v>477</v>
      </c>
      <c r="D415" s="358">
        <v>1021011</v>
      </c>
      <c r="E415" s="358">
        <v>1</v>
      </c>
      <c r="F415" s="358"/>
      <c r="G415" s="358">
        <v>840</v>
      </c>
      <c r="H415" s="358">
        <v>13.5</v>
      </c>
      <c r="I415" s="358"/>
      <c r="J415" s="358" t="s">
        <v>240</v>
      </c>
      <c r="K415" s="359" t="b">
        <f t="shared" si="17"/>
        <v>1</v>
      </c>
      <c r="L415" s="359">
        <v>5</v>
      </c>
      <c r="M415" s="360">
        <v>2021</v>
      </c>
      <c r="N415" s="361">
        <v>0</v>
      </c>
      <c r="O415" s="362">
        <v>42642</v>
      </c>
      <c r="P415" s="362">
        <v>42642</v>
      </c>
    </row>
    <row r="416" spans="1:16" ht="14.25">
      <c r="A416" s="356">
        <v>2016</v>
      </c>
      <c r="B416" s="357" t="s">
        <v>476</v>
      </c>
      <c r="C416" s="357" t="s">
        <v>477</v>
      </c>
      <c r="D416" s="358">
        <v>1021011</v>
      </c>
      <c r="E416" s="358">
        <v>1</v>
      </c>
      <c r="F416" s="358"/>
      <c r="G416" s="358">
        <v>840</v>
      </c>
      <c r="H416" s="358">
        <v>13.5</v>
      </c>
      <c r="I416" s="358"/>
      <c r="J416" s="358" t="s">
        <v>240</v>
      </c>
      <c r="K416" s="359" t="b">
        <f t="shared" si="17"/>
        <v>1</v>
      </c>
      <c r="L416" s="359">
        <v>8</v>
      </c>
      <c r="M416" s="360">
        <v>2024</v>
      </c>
      <c r="N416" s="361">
        <v>0</v>
      </c>
      <c r="O416" s="362">
        <v>42642</v>
      </c>
      <c r="P416" s="362">
        <v>42642</v>
      </c>
    </row>
    <row r="417" spans="1:16" ht="14.25">
      <c r="A417" s="356">
        <v>2016</v>
      </c>
      <c r="B417" s="357" t="s">
        <v>476</v>
      </c>
      <c r="C417" s="357" t="s">
        <v>477</v>
      </c>
      <c r="D417" s="358">
        <v>1021011</v>
      </c>
      <c r="E417" s="358">
        <v>1</v>
      </c>
      <c r="F417" s="358"/>
      <c r="G417" s="358">
        <v>840</v>
      </c>
      <c r="H417" s="358">
        <v>13.5</v>
      </c>
      <c r="I417" s="358"/>
      <c r="J417" s="358" t="s">
        <v>240</v>
      </c>
      <c r="K417" s="359" t="b">
        <f t="shared" si="17"/>
        <v>1</v>
      </c>
      <c r="L417" s="359">
        <v>4</v>
      </c>
      <c r="M417" s="360">
        <v>2020</v>
      </c>
      <c r="N417" s="361">
        <v>0</v>
      </c>
      <c r="O417" s="362">
        <v>42642</v>
      </c>
      <c r="P417" s="362">
        <v>42642</v>
      </c>
    </row>
    <row r="418" spans="1:16" ht="14.25">
      <c r="A418" s="356">
        <v>2016</v>
      </c>
      <c r="B418" s="357" t="s">
        <v>476</v>
      </c>
      <c r="C418" s="357" t="s">
        <v>477</v>
      </c>
      <c r="D418" s="358">
        <v>1021011</v>
      </c>
      <c r="E418" s="358">
        <v>1</v>
      </c>
      <c r="F418" s="358"/>
      <c r="G418" s="358">
        <v>870</v>
      </c>
      <c r="H418" s="358">
        <v>14</v>
      </c>
      <c r="I418" s="358"/>
      <c r="J418" s="358" t="s">
        <v>248</v>
      </c>
      <c r="K418" s="359" t="b">
        <f t="shared" si="17"/>
        <v>1</v>
      </c>
      <c r="L418" s="359">
        <v>1</v>
      </c>
      <c r="M418" s="360">
        <v>2017</v>
      </c>
      <c r="N418" s="361">
        <v>0</v>
      </c>
      <c r="O418" s="362">
        <v>42642</v>
      </c>
      <c r="P418" s="362">
        <v>42642</v>
      </c>
    </row>
    <row r="419" spans="1:16" ht="14.25">
      <c r="A419" s="356">
        <v>2016</v>
      </c>
      <c r="B419" s="357" t="s">
        <v>476</v>
      </c>
      <c r="C419" s="357" t="s">
        <v>477</v>
      </c>
      <c r="D419" s="358">
        <v>1021011</v>
      </c>
      <c r="E419" s="358">
        <v>1</v>
      </c>
      <c r="F419" s="358"/>
      <c r="G419" s="358">
        <v>870</v>
      </c>
      <c r="H419" s="358">
        <v>14</v>
      </c>
      <c r="I419" s="358"/>
      <c r="J419" s="358" t="s">
        <v>248</v>
      </c>
      <c r="K419" s="359" t="b">
        <f t="shared" si="17"/>
        <v>1</v>
      </c>
      <c r="L419" s="359">
        <v>3</v>
      </c>
      <c r="M419" s="360">
        <v>2019</v>
      </c>
      <c r="N419" s="361">
        <v>0</v>
      </c>
      <c r="O419" s="362">
        <v>42642</v>
      </c>
      <c r="P419" s="362">
        <v>42642</v>
      </c>
    </row>
    <row r="420" spans="1:16" ht="14.25">
      <c r="A420" s="356">
        <v>2016</v>
      </c>
      <c r="B420" s="357" t="s">
        <v>476</v>
      </c>
      <c r="C420" s="357" t="s">
        <v>477</v>
      </c>
      <c r="D420" s="358">
        <v>1021011</v>
      </c>
      <c r="E420" s="358">
        <v>1</v>
      </c>
      <c r="F420" s="358"/>
      <c r="G420" s="358">
        <v>870</v>
      </c>
      <c r="H420" s="358">
        <v>14</v>
      </c>
      <c r="I420" s="358"/>
      <c r="J420" s="358" t="s">
        <v>248</v>
      </c>
      <c r="K420" s="359" t="b">
        <f t="shared" si="17"/>
        <v>1</v>
      </c>
      <c r="L420" s="359">
        <v>8</v>
      </c>
      <c r="M420" s="360">
        <v>2024</v>
      </c>
      <c r="N420" s="361">
        <v>0</v>
      </c>
      <c r="O420" s="362">
        <v>42642</v>
      </c>
      <c r="P420" s="362">
        <v>42642</v>
      </c>
    </row>
    <row r="421" spans="1:16" ht="14.25">
      <c r="A421" s="356">
        <v>2016</v>
      </c>
      <c r="B421" s="357" t="s">
        <v>476</v>
      </c>
      <c r="C421" s="357" t="s">
        <v>477</v>
      </c>
      <c r="D421" s="358">
        <v>1021011</v>
      </c>
      <c r="E421" s="358">
        <v>1</v>
      </c>
      <c r="F421" s="358"/>
      <c r="G421" s="358">
        <v>870</v>
      </c>
      <c r="H421" s="358">
        <v>14</v>
      </c>
      <c r="I421" s="358"/>
      <c r="J421" s="358" t="s">
        <v>248</v>
      </c>
      <c r="K421" s="359" t="b">
        <f t="shared" si="17"/>
        <v>1</v>
      </c>
      <c r="L421" s="359">
        <v>2</v>
      </c>
      <c r="M421" s="360">
        <v>2018</v>
      </c>
      <c r="N421" s="361">
        <v>0</v>
      </c>
      <c r="O421" s="362">
        <v>42642</v>
      </c>
      <c r="P421" s="362">
        <v>42642</v>
      </c>
    </row>
    <row r="422" spans="1:16" ht="14.25">
      <c r="A422" s="356">
        <v>2016</v>
      </c>
      <c r="B422" s="357" t="s">
        <v>476</v>
      </c>
      <c r="C422" s="357" t="s">
        <v>477</v>
      </c>
      <c r="D422" s="358">
        <v>1021011</v>
      </c>
      <c r="E422" s="358">
        <v>1</v>
      </c>
      <c r="F422" s="358"/>
      <c r="G422" s="358">
        <v>870</v>
      </c>
      <c r="H422" s="358">
        <v>14</v>
      </c>
      <c r="I422" s="358"/>
      <c r="J422" s="358" t="s">
        <v>248</v>
      </c>
      <c r="K422" s="359" t="b">
        <f t="shared" si="17"/>
        <v>1</v>
      </c>
      <c r="L422" s="359">
        <v>0</v>
      </c>
      <c r="M422" s="360">
        <v>2016</v>
      </c>
      <c r="N422" s="361">
        <v>0</v>
      </c>
      <c r="O422" s="362">
        <v>42642</v>
      </c>
      <c r="P422" s="362">
        <v>42642</v>
      </c>
    </row>
    <row r="423" spans="1:16" ht="14.25">
      <c r="A423" s="356">
        <v>2016</v>
      </c>
      <c r="B423" s="357" t="s">
        <v>476</v>
      </c>
      <c r="C423" s="357" t="s">
        <v>477</v>
      </c>
      <c r="D423" s="358">
        <v>1021011</v>
      </c>
      <c r="E423" s="358">
        <v>1</v>
      </c>
      <c r="F423" s="358"/>
      <c r="G423" s="358">
        <v>870</v>
      </c>
      <c r="H423" s="358">
        <v>14</v>
      </c>
      <c r="I423" s="358"/>
      <c r="J423" s="358" t="s">
        <v>248</v>
      </c>
      <c r="K423" s="359" t="b">
        <f t="shared" si="17"/>
        <v>1</v>
      </c>
      <c r="L423" s="359">
        <v>4</v>
      </c>
      <c r="M423" s="360">
        <v>2020</v>
      </c>
      <c r="N423" s="361">
        <v>0</v>
      </c>
      <c r="O423" s="362">
        <v>42642</v>
      </c>
      <c r="P423" s="362">
        <v>42642</v>
      </c>
    </row>
    <row r="424" spans="1:16" ht="14.25">
      <c r="A424" s="356">
        <v>2016</v>
      </c>
      <c r="B424" s="357" t="s">
        <v>476</v>
      </c>
      <c r="C424" s="357" t="s">
        <v>477</v>
      </c>
      <c r="D424" s="358">
        <v>1021011</v>
      </c>
      <c r="E424" s="358">
        <v>1</v>
      </c>
      <c r="F424" s="358"/>
      <c r="G424" s="358">
        <v>870</v>
      </c>
      <c r="H424" s="358">
        <v>14</v>
      </c>
      <c r="I424" s="358"/>
      <c r="J424" s="358" t="s">
        <v>248</v>
      </c>
      <c r="K424" s="359" t="b">
        <f t="shared" si="17"/>
        <v>1</v>
      </c>
      <c r="L424" s="359">
        <v>5</v>
      </c>
      <c r="M424" s="360">
        <v>2021</v>
      </c>
      <c r="N424" s="361">
        <v>0</v>
      </c>
      <c r="O424" s="362">
        <v>42642</v>
      </c>
      <c r="P424" s="362">
        <v>42642</v>
      </c>
    </row>
    <row r="425" spans="1:16" ht="14.25">
      <c r="A425" s="356">
        <v>2016</v>
      </c>
      <c r="B425" s="357" t="s">
        <v>476</v>
      </c>
      <c r="C425" s="357" t="s">
        <v>477</v>
      </c>
      <c r="D425" s="358">
        <v>1021011</v>
      </c>
      <c r="E425" s="358">
        <v>1</v>
      </c>
      <c r="F425" s="358"/>
      <c r="G425" s="358">
        <v>870</v>
      </c>
      <c r="H425" s="358">
        <v>14</v>
      </c>
      <c r="I425" s="358"/>
      <c r="J425" s="358" t="s">
        <v>248</v>
      </c>
      <c r="K425" s="359" t="b">
        <f t="shared" si="17"/>
        <v>1</v>
      </c>
      <c r="L425" s="359">
        <v>7</v>
      </c>
      <c r="M425" s="360">
        <v>2023</v>
      </c>
      <c r="N425" s="361">
        <v>0</v>
      </c>
      <c r="O425" s="362">
        <v>42642</v>
      </c>
      <c r="P425" s="362">
        <v>42642</v>
      </c>
    </row>
    <row r="426" spans="1:16" ht="14.25">
      <c r="A426" s="356">
        <v>2016</v>
      </c>
      <c r="B426" s="357" t="s">
        <v>476</v>
      </c>
      <c r="C426" s="357" t="s">
        <v>477</v>
      </c>
      <c r="D426" s="358">
        <v>1021011</v>
      </c>
      <c r="E426" s="358">
        <v>1</v>
      </c>
      <c r="F426" s="358"/>
      <c r="G426" s="358">
        <v>870</v>
      </c>
      <c r="H426" s="358">
        <v>14</v>
      </c>
      <c r="I426" s="358"/>
      <c r="J426" s="358" t="s">
        <v>248</v>
      </c>
      <c r="K426" s="359" t="b">
        <f t="shared" si="17"/>
        <v>1</v>
      </c>
      <c r="L426" s="359">
        <v>6</v>
      </c>
      <c r="M426" s="360">
        <v>2022</v>
      </c>
      <c r="N426" s="361">
        <v>0</v>
      </c>
      <c r="O426" s="362">
        <v>42642</v>
      </c>
      <c r="P426" s="362">
        <v>42642</v>
      </c>
    </row>
    <row r="427" spans="1:16" ht="14.25">
      <c r="A427" s="356">
        <v>2016</v>
      </c>
      <c r="B427" s="357" t="s">
        <v>476</v>
      </c>
      <c r="C427" s="357" t="s">
        <v>477</v>
      </c>
      <c r="D427" s="358">
        <v>1021011</v>
      </c>
      <c r="E427" s="358">
        <v>1</v>
      </c>
      <c r="F427" s="358"/>
      <c r="G427" s="358">
        <v>430</v>
      </c>
      <c r="H427" s="358">
        <v>8.2</v>
      </c>
      <c r="I427" s="358" t="s">
        <v>432</v>
      </c>
      <c r="J427" s="358" t="s">
        <v>113</v>
      </c>
      <c r="K427" s="359" t="b">
        <f aca="true" t="shared" si="18" ref="K427:K428">FALSE</f>
        <v>0</v>
      </c>
      <c r="L427" s="359">
        <v>4</v>
      </c>
      <c r="M427" s="360">
        <v>2020</v>
      </c>
      <c r="N427" s="361">
        <v>4400000</v>
      </c>
      <c r="O427" s="362">
        <v>42642</v>
      </c>
      <c r="P427" s="362">
        <v>42642</v>
      </c>
    </row>
    <row r="428" spans="1:16" ht="14.25">
      <c r="A428" s="356">
        <v>2016</v>
      </c>
      <c r="B428" s="357" t="s">
        <v>476</v>
      </c>
      <c r="C428" s="357" t="s">
        <v>477</v>
      </c>
      <c r="D428" s="358">
        <v>1021011</v>
      </c>
      <c r="E428" s="358">
        <v>1</v>
      </c>
      <c r="F428" s="358"/>
      <c r="G428" s="358">
        <v>430</v>
      </c>
      <c r="H428" s="358">
        <v>8.2</v>
      </c>
      <c r="I428" s="358" t="s">
        <v>432</v>
      </c>
      <c r="J428" s="358" t="s">
        <v>113</v>
      </c>
      <c r="K428" s="359" t="b">
        <f t="shared" si="18"/>
        <v>0</v>
      </c>
      <c r="L428" s="359">
        <v>6</v>
      </c>
      <c r="M428" s="360">
        <v>2022</v>
      </c>
      <c r="N428" s="361">
        <v>5400000</v>
      </c>
      <c r="O428" s="362">
        <v>42642</v>
      </c>
      <c r="P428" s="362">
        <v>42642</v>
      </c>
    </row>
    <row r="429" spans="1:16" ht="14.25">
      <c r="A429" s="356">
        <v>2016</v>
      </c>
      <c r="B429" s="357" t="s">
        <v>476</v>
      </c>
      <c r="C429" s="357" t="s">
        <v>477</v>
      </c>
      <c r="D429" s="358">
        <v>1021011</v>
      </c>
      <c r="E429" s="358">
        <v>1</v>
      </c>
      <c r="F429" s="358"/>
      <c r="G429" s="358">
        <v>260</v>
      </c>
      <c r="H429" s="358">
        <v>4.3</v>
      </c>
      <c r="I429" s="358"/>
      <c r="J429" s="358" t="s">
        <v>82</v>
      </c>
      <c r="K429" s="359" t="b">
        <f>TRUE</f>
        <v>1</v>
      </c>
      <c r="L429" s="359">
        <v>3</v>
      </c>
      <c r="M429" s="360">
        <v>2019</v>
      </c>
      <c r="N429" s="361">
        <v>0</v>
      </c>
      <c r="O429" s="362">
        <v>42642</v>
      </c>
      <c r="P429" s="362">
        <v>42642</v>
      </c>
    </row>
    <row r="430" spans="1:16" ht="14.25">
      <c r="A430" s="356">
        <v>2016</v>
      </c>
      <c r="B430" s="357" t="s">
        <v>476</v>
      </c>
      <c r="C430" s="357" t="s">
        <v>477</v>
      </c>
      <c r="D430" s="358">
        <v>1021011</v>
      </c>
      <c r="E430" s="358">
        <v>1</v>
      </c>
      <c r="F430" s="358"/>
      <c r="G430" s="358">
        <v>430</v>
      </c>
      <c r="H430" s="358">
        <v>8.2</v>
      </c>
      <c r="I430" s="358" t="s">
        <v>432</v>
      </c>
      <c r="J430" s="358" t="s">
        <v>113</v>
      </c>
      <c r="K430" s="359" t="b">
        <f aca="true" t="shared" si="19" ref="K430:K436">FALSE</f>
        <v>0</v>
      </c>
      <c r="L430" s="359">
        <v>8</v>
      </c>
      <c r="M430" s="360">
        <v>2024</v>
      </c>
      <c r="N430" s="361">
        <v>6400000</v>
      </c>
      <c r="O430" s="362">
        <v>42642</v>
      </c>
      <c r="P430" s="362">
        <v>42642</v>
      </c>
    </row>
    <row r="431" spans="1:16" ht="14.25">
      <c r="A431" s="356">
        <v>2016</v>
      </c>
      <c r="B431" s="357" t="s">
        <v>476</v>
      </c>
      <c r="C431" s="357" t="s">
        <v>477</v>
      </c>
      <c r="D431" s="358">
        <v>1021011</v>
      </c>
      <c r="E431" s="358">
        <v>1</v>
      </c>
      <c r="F431" s="358"/>
      <c r="G431" s="358">
        <v>430</v>
      </c>
      <c r="H431" s="358">
        <v>8.2</v>
      </c>
      <c r="I431" s="358" t="s">
        <v>432</v>
      </c>
      <c r="J431" s="358" t="s">
        <v>113</v>
      </c>
      <c r="K431" s="359" t="b">
        <f t="shared" si="19"/>
        <v>0</v>
      </c>
      <c r="L431" s="359">
        <v>5</v>
      </c>
      <c r="M431" s="360">
        <v>2021</v>
      </c>
      <c r="N431" s="361">
        <v>4900000</v>
      </c>
      <c r="O431" s="362">
        <v>42642</v>
      </c>
      <c r="P431" s="362">
        <v>42642</v>
      </c>
    </row>
    <row r="432" spans="1:16" ht="14.25">
      <c r="A432" s="356">
        <v>2016</v>
      </c>
      <c r="B432" s="357" t="s">
        <v>476</v>
      </c>
      <c r="C432" s="357" t="s">
        <v>477</v>
      </c>
      <c r="D432" s="358">
        <v>1021011</v>
      </c>
      <c r="E432" s="358">
        <v>1</v>
      </c>
      <c r="F432" s="358"/>
      <c r="G432" s="358">
        <v>430</v>
      </c>
      <c r="H432" s="358">
        <v>8.2</v>
      </c>
      <c r="I432" s="358" t="s">
        <v>432</v>
      </c>
      <c r="J432" s="358" t="s">
        <v>113</v>
      </c>
      <c r="K432" s="359" t="b">
        <f t="shared" si="19"/>
        <v>0</v>
      </c>
      <c r="L432" s="359">
        <v>0</v>
      </c>
      <c r="M432" s="360">
        <v>2016</v>
      </c>
      <c r="N432" s="361">
        <v>3536355.2</v>
      </c>
      <c r="O432" s="362">
        <v>42642</v>
      </c>
      <c r="P432" s="362">
        <v>42642</v>
      </c>
    </row>
    <row r="433" spans="1:16" ht="14.25">
      <c r="A433" s="356">
        <v>2016</v>
      </c>
      <c r="B433" s="357" t="s">
        <v>476</v>
      </c>
      <c r="C433" s="357" t="s">
        <v>477</v>
      </c>
      <c r="D433" s="358">
        <v>1021011</v>
      </c>
      <c r="E433" s="358">
        <v>1</v>
      </c>
      <c r="F433" s="358"/>
      <c r="G433" s="358">
        <v>430</v>
      </c>
      <c r="H433" s="358">
        <v>8.2</v>
      </c>
      <c r="I433" s="358" t="s">
        <v>432</v>
      </c>
      <c r="J433" s="358" t="s">
        <v>113</v>
      </c>
      <c r="K433" s="359" t="b">
        <f t="shared" si="19"/>
        <v>0</v>
      </c>
      <c r="L433" s="359">
        <v>7</v>
      </c>
      <c r="M433" s="360">
        <v>2023</v>
      </c>
      <c r="N433" s="361">
        <v>5900000</v>
      </c>
      <c r="O433" s="362">
        <v>42642</v>
      </c>
      <c r="P433" s="362">
        <v>42642</v>
      </c>
    </row>
    <row r="434" spans="1:16" ht="14.25">
      <c r="A434" s="356">
        <v>2016</v>
      </c>
      <c r="B434" s="357" t="s">
        <v>476</v>
      </c>
      <c r="C434" s="357" t="s">
        <v>477</v>
      </c>
      <c r="D434" s="358">
        <v>1021011</v>
      </c>
      <c r="E434" s="358">
        <v>1</v>
      </c>
      <c r="F434" s="358"/>
      <c r="G434" s="358">
        <v>430</v>
      </c>
      <c r="H434" s="358">
        <v>8.2</v>
      </c>
      <c r="I434" s="358" t="s">
        <v>432</v>
      </c>
      <c r="J434" s="358" t="s">
        <v>113</v>
      </c>
      <c r="K434" s="359" t="b">
        <f t="shared" si="19"/>
        <v>0</v>
      </c>
      <c r="L434" s="359">
        <v>1</v>
      </c>
      <c r="M434" s="360">
        <v>2017</v>
      </c>
      <c r="N434" s="361">
        <v>3000000</v>
      </c>
      <c r="O434" s="362">
        <v>42642</v>
      </c>
      <c r="P434" s="362">
        <v>42642</v>
      </c>
    </row>
    <row r="435" spans="1:16" ht="14.25">
      <c r="A435" s="356">
        <v>2016</v>
      </c>
      <c r="B435" s="357" t="s">
        <v>476</v>
      </c>
      <c r="C435" s="357" t="s">
        <v>477</v>
      </c>
      <c r="D435" s="358">
        <v>1021011</v>
      </c>
      <c r="E435" s="358">
        <v>1</v>
      </c>
      <c r="F435" s="358"/>
      <c r="G435" s="358">
        <v>430</v>
      </c>
      <c r="H435" s="358">
        <v>8.2</v>
      </c>
      <c r="I435" s="358" t="s">
        <v>432</v>
      </c>
      <c r="J435" s="358" t="s">
        <v>113</v>
      </c>
      <c r="K435" s="359" t="b">
        <f t="shared" si="19"/>
        <v>0</v>
      </c>
      <c r="L435" s="359">
        <v>3</v>
      </c>
      <c r="M435" s="360">
        <v>2019</v>
      </c>
      <c r="N435" s="361">
        <v>3900000</v>
      </c>
      <c r="O435" s="362">
        <v>42642</v>
      </c>
      <c r="P435" s="362">
        <v>42642</v>
      </c>
    </row>
    <row r="436" spans="1:16" ht="14.25">
      <c r="A436" s="356">
        <v>2016</v>
      </c>
      <c r="B436" s="357" t="s">
        <v>476</v>
      </c>
      <c r="C436" s="357" t="s">
        <v>477</v>
      </c>
      <c r="D436" s="358">
        <v>1021011</v>
      </c>
      <c r="E436" s="358">
        <v>1</v>
      </c>
      <c r="F436" s="358"/>
      <c r="G436" s="358">
        <v>430</v>
      </c>
      <c r="H436" s="358">
        <v>8.2</v>
      </c>
      <c r="I436" s="358" t="s">
        <v>432</v>
      </c>
      <c r="J436" s="358" t="s">
        <v>113</v>
      </c>
      <c r="K436" s="359" t="b">
        <f t="shared" si="19"/>
        <v>0</v>
      </c>
      <c r="L436" s="359">
        <v>2</v>
      </c>
      <c r="M436" s="360">
        <v>2018</v>
      </c>
      <c r="N436" s="361">
        <v>3400000</v>
      </c>
      <c r="O436" s="362">
        <v>42642</v>
      </c>
      <c r="P436" s="362">
        <v>42642</v>
      </c>
    </row>
    <row r="437" spans="1:16" ht="14.25">
      <c r="A437" s="356">
        <v>2016</v>
      </c>
      <c r="B437" s="357" t="s">
        <v>476</v>
      </c>
      <c r="C437" s="357" t="s">
        <v>477</v>
      </c>
      <c r="D437" s="358">
        <v>1021011</v>
      </c>
      <c r="E437" s="358">
        <v>1</v>
      </c>
      <c r="F437" s="358"/>
      <c r="G437" s="358">
        <v>270</v>
      </c>
      <c r="H437" s="358" t="s">
        <v>84</v>
      </c>
      <c r="I437" s="358"/>
      <c r="J437" s="358" t="s">
        <v>80</v>
      </c>
      <c r="K437" s="359" t="b">
        <f aca="true" t="shared" si="20" ref="K437:K516">TRUE</f>
        <v>1</v>
      </c>
      <c r="L437" s="359">
        <v>5</v>
      </c>
      <c r="M437" s="360">
        <v>2021</v>
      </c>
      <c r="N437" s="361">
        <v>0</v>
      </c>
      <c r="O437" s="362">
        <v>42642</v>
      </c>
      <c r="P437" s="362">
        <v>42642</v>
      </c>
    </row>
    <row r="438" spans="1:16" ht="14.25">
      <c r="A438" s="356">
        <v>2016</v>
      </c>
      <c r="B438" s="357" t="s">
        <v>476</v>
      </c>
      <c r="C438" s="357" t="s">
        <v>477</v>
      </c>
      <c r="D438" s="358">
        <v>1021011</v>
      </c>
      <c r="E438" s="358">
        <v>1</v>
      </c>
      <c r="F438" s="358"/>
      <c r="G438" s="358">
        <v>270</v>
      </c>
      <c r="H438" s="358" t="s">
        <v>84</v>
      </c>
      <c r="I438" s="358"/>
      <c r="J438" s="358" t="s">
        <v>80</v>
      </c>
      <c r="K438" s="359" t="b">
        <f t="shared" si="20"/>
        <v>1</v>
      </c>
      <c r="L438" s="359">
        <v>1</v>
      </c>
      <c r="M438" s="360">
        <v>2017</v>
      </c>
      <c r="N438" s="361">
        <v>0</v>
      </c>
      <c r="O438" s="362">
        <v>42642</v>
      </c>
      <c r="P438" s="362">
        <v>42642</v>
      </c>
    </row>
    <row r="439" spans="1:16" ht="14.25">
      <c r="A439" s="356">
        <v>2016</v>
      </c>
      <c r="B439" s="357" t="s">
        <v>476</v>
      </c>
      <c r="C439" s="357" t="s">
        <v>477</v>
      </c>
      <c r="D439" s="358">
        <v>1021011</v>
      </c>
      <c r="E439" s="358">
        <v>1</v>
      </c>
      <c r="F439" s="358"/>
      <c r="G439" s="358">
        <v>270</v>
      </c>
      <c r="H439" s="358" t="s">
        <v>84</v>
      </c>
      <c r="I439" s="358"/>
      <c r="J439" s="358" t="s">
        <v>80</v>
      </c>
      <c r="K439" s="359" t="b">
        <f t="shared" si="20"/>
        <v>1</v>
      </c>
      <c r="L439" s="359">
        <v>3</v>
      </c>
      <c r="M439" s="360">
        <v>2019</v>
      </c>
      <c r="N439" s="361">
        <v>0</v>
      </c>
      <c r="O439" s="362">
        <v>42642</v>
      </c>
      <c r="P439" s="362">
        <v>42642</v>
      </c>
    </row>
    <row r="440" spans="1:16" ht="14.25">
      <c r="A440" s="356">
        <v>2016</v>
      </c>
      <c r="B440" s="357" t="s">
        <v>476</v>
      </c>
      <c r="C440" s="357" t="s">
        <v>477</v>
      </c>
      <c r="D440" s="358">
        <v>1021011</v>
      </c>
      <c r="E440" s="358">
        <v>1</v>
      </c>
      <c r="F440" s="358"/>
      <c r="G440" s="358">
        <v>270</v>
      </c>
      <c r="H440" s="358" t="s">
        <v>84</v>
      </c>
      <c r="I440" s="358"/>
      <c r="J440" s="358" t="s">
        <v>80</v>
      </c>
      <c r="K440" s="359" t="b">
        <f t="shared" si="20"/>
        <v>1</v>
      </c>
      <c r="L440" s="359">
        <v>8</v>
      </c>
      <c r="M440" s="360">
        <v>2024</v>
      </c>
      <c r="N440" s="361">
        <v>0</v>
      </c>
      <c r="O440" s="362">
        <v>42642</v>
      </c>
      <c r="P440" s="362">
        <v>42642</v>
      </c>
    </row>
    <row r="441" spans="1:16" ht="14.25">
      <c r="A441" s="356">
        <v>2016</v>
      </c>
      <c r="B441" s="357" t="s">
        <v>476</v>
      </c>
      <c r="C441" s="357" t="s">
        <v>477</v>
      </c>
      <c r="D441" s="358">
        <v>1021011</v>
      </c>
      <c r="E441" s="358">
        <v>1</v>
      </c>
      <c r="F441" s="358"/>
      <c r="G441" s="358">
        <v>270</v>
      </c>
      <c r="H441" s="358" t="s">
        <v>84</v>
      </c>
      <c r="I441" s="358"/>
      <c r="J441" s="358" t="s">
        <v>80</v>
      </c>
      <c r="K441" s="359" t="b">
        <f t="shared" si="20"/>
        <v>1</v>
      </c>
      <c r="L441" s="359">
        <v>0</v>
      </c>
      <c r="M441" s="360">
        <v>2016</v>
      </c>
      <c r="N441" s="361">
        <v>815692</v>
      </c>
      <c r="O441" s="362">
        <v>42642</v>
      </c>
      <c r="P441" s="362">
        <v>42642</v>
      </c>
    </row>
    <row r="442" spans="1:16" ht="14.25">
      <c r="A442" s="356">
        <v>2016</v>
      </c>
      <c r="B442" s="357" t="s">
        <v>476</v>
      </c>
      <c r="C442" s="357" t="s">
        <v>477</v>
      </c>
      <c r="D442" s="358">
        <v>1021011</v>
      </c>
      <c r="E442" s="358">
        <v>1</v>
      </c>
      <c r="F442" s="358"/>
      <c r="G442" s="358">
        <v>270</v>
      </c>
      <c r="H442" s="358" t="s">
        <v>84</v>
      </c>
      <c r="I442" s="358"/>
      <c r="J442" s="358" t="s">
        <v>80</v>
      </c>
      <c r="K442" s="359" t="b">
        <f t="shared" si="20"/>
        <v>1</v>
      </c>
      <c r="L442" s="359">
        <v>4</v>
      </c>
      <c r="M442" s="360">
        <v>2020</v>
      </c>
      <c r="N442" s="361">
        <v>0</v>
      </c>
      <c r="O442" s="362">
        <v>42642</v>
      </c>
      <c r="P442" s="362">
        <v>42642</v>
      </c>
    </row>
    <row r="443" spans="1:16" ht="14.25">
      <c r="A443" s="356">
        <v>2016</v>
      </c>
      <c r="B443" s="357" t="s">
        <v>476</v>
      </c>
      <c r="C443" s="357" t="s">
        <v>477</v>
      </c>
      <c r="D443" s="358">
        <v>1021011</v>
      </c>
      <c r="E443" s="358">
        <v>1</v>
      </c>
      <c r="F443" s="358"/>
      <c r="G443" s="358">
        <v>270</v>
      </c>
      <c r="H443" s="358" t="s">
        <v>84</v>
      </c>
      <c r="I443" s="358"/>
      <c r="J443" s="358" t="s">
        <v>80</v>
      </c>
      <c r="K443" s="359" t="b">
        <f t="shared" si="20"/>
        <v>1</v>
      </c>
      <c r="L443" s="359">
        <v>6</v>
      </c>
      <c r="M443" s="360">
        <v>2022</v>
      </c>
      <c r="N443" s="361">
        <v>0</v>
      </c>
      <c r="O443" s="362">
        <v>42642</v>
      </c>
      <c r="P443" s="362">
        <v>42642</v>
      </c>
    </row>
    <row r="444" spans="1:16" ht="14.25">
      <c r="A444" s="356">
        <v>2016</v>
      </c>
      <c r="B444" s="357" t="s">
        <v>476</v>
      </c>
      <c r="C444" s="357" t="s">
        <v>477</v>
      </c>
      <c r="D444" s="358">
        <v>1021011</v>
      </c>
      <c r="E444" s="358">
        <v>1</v>
      </c>
      <c r="F444" s="358"/>
      <c r="G444" s="358">
        <v>270</v>
      </c>
      <c r="H444" s="358" t="s">
        <v>84</v>
      </c>
      <c r="I444" s="358"/>
      <c r="J444" s="358" t="s">
        <v>80</v>
      </c>
      <c r="K444" s="359" t="b">
        <f t="shared" si="20"/>
        <v>1</v>
      </c>
      <c r="L444" s="359">
        <v>2</v>
      </c>
      <c r="M444" s="360">
        <v>2018</v>
      </c>
      <c r="N444" s="361">
        <v>0</v>
      </c>
      <c r="O444" s="362">
        <v>42642</v>
      </c>
      <c r="P444" s="362">
        <v>42642</v>
      </c>
    </row>
    <row r="445" spans="1:16" ht="14.25">
      <c r="A445" s="356">
        <v>2016</v>
      </c>
      <c r="B445" s="357" t="s">
        <v>476</v>
      </c>
      <c r="C445" s="357" t="s">
        <v>477</v>
      </c>
      <c r="D445" s="358">
        <v>1021011</v>
      </c>
      <c r="E445" s="358">
        <v>1</v>
      </c>
      <c r="F445" s="358"/>
      <c r="G445" s="358">
        <v>270</v>
      </c>
      <c r="H445" s="358" t="s">
        <v>84</v>
      </c>
      <c r="I445" s="358"/>
      <c r="J445" s="358" t="s">
        <v>80</v>
      </c>
      <c r="K445" s="359" t="b">
        <f t="shared" si="20"/>
        <v>1</v>
      </c>
      <c r="L445" s="359">
        <v>7</v>
      </c>
      <c r="M445" s="360">
        <v>2023</v>
      </c>
      <c r="N445" s="361">
        <v>0</v>
      </c>
      <c r="O445" s="362">
        <v>42642</v>
      </c>
      <c r="P445" s="362">
        <v>42642</v>
      </c>
    </row>
    <row r="446" spans="1:16" ht="14.25">
      <c r="A446" s="356">
        <v>2016</v>
      </c>
      <c r="B446" s="357" t="s">
        <v>476</v>
      </c>
      <c r="C446" s="357" t="s">
        <v>477</v>
      </c>
      <c r="D446" s="358">
        <v>1021011</v>
      </c>
      <c r="E446" s="358">
        <v>1</v>
      </c>
      <c r="F446" s="358"/>
      <c r="G446" s="358">
        <v>70</v>
      </c>
      <c r="H446" s="358" t="s">
        <v>25</v>
      </c>
      <c r="I446" s="358"/>
      <c r="J446" s="358" t="s">
        <v>26</v>
      </c>
      <c r="K446" s="359" t="b">
        <f t="shared" si="20"/>
        <v>1</v>
      </c>
      <c r="L446" s="359">
        <v>6</v>
      </c>
      <c r="M446" s="360">
        <v>2022</v>
      </c>
      <c r="N446" s="361">
        <v>0</v>
      </c>
      <c r="O446" s="362">
        <v>42642</v>
      </c>
      <c r="P446" s="362">
        <v>42642</v>
      </c>
    </row>
    <row r="447" spans="1:16" ht="14.25">
      <c r="A447" s="356">
        <v>2016</v>
      </c>
      <c r="B447" s="357" t="s">
        <v>476</v>
      </c>
      <c r="C447" s="357" t="s">
        <v>477</v>
      </c>
      <c r="D447" s="358">
        <v>1021011</v>
      </c>
      <c r="E447" s="358">
        <v>1</v>
      </c>
      <c r="F447" s="358"/>
      <c r="G447" s="358">
        <v>70</v>
      </c>
      <c r="H447" s="358" t="s">
        <v>25</v>
      </c>
      <c r="I447" s="358"/>
      <c r="J447" s="358" t="s">
        <v>26</v>
      </c>
      <c r="K447" s="359" t="b">
        <f t="shared" si="20"/>
        <v>1</v>
      </c>
      <c r="L447" s="359">
        <v>8</v>
      </c>
      <c r="M447" s="360">
        <v>2024</v>
      </c>
      <c r="N447" s="361">
        <v>0</v>
      </c>
      <c r="O447" s="362">
        <v>42642</v>
      </c>
      <c r="P447" s="362">
        <v>42642</v>
      </c>
    </row>
    <row r="448" spans="1:16" ht="14.25">
      <c r="A448" s="356">
        <v>2016</v>
      </c>
      <c r="B448" s="357" t="s">
        <v>476</v>
      </c>
      <c r="C448" s="357" t="s">
        <v>477</v>
      </c>
      <c r="D448" s="358">
        <v>1021011</v>
      </c>
      <c r="E448" s="358">
        <v>1</v>
      </c>
      <c r="F448" s="358"/>
      <c r="G448" s="358">
        <v>70</v>
      </c>
      <c r="H448" s="358" t="s">
        <v>25</v>
      </c>
      <c r="I448" s="358"/>
      <c r="J448" s="358" t="s">
        <v>26</v>
      </c>
      <c r="K448" s="359" t="b">
        <f t="shared" si="20"/>
        <v>1</v>
      </c>
      <c r="L448" s="359">
        <v>0</v>
      </c>
      <c r="M448" s="360">
        <v>2016</v>
      </c>
      <c r="N448" s="361">
        <v>9129602</v>
      </c>
      <c r="O448" s="362">
        <v>42642</v>
      </c>
      <c r="P448" s="362">
        <v>42642</v>
      </c>
    </row>
    <row r="449" spans="1:16" ht="14.25">
      <c r="A449" s="356">
        <v>2016</v>
      </c>
      <c r="B449" s="357" t="s">
        <v>476</v>
      </c>
      <c r="C449" s="357" t="s">
        <v>477</v>
      </c>
      <c r="D449" s="358">
        <v>1021011</v>
      </c>
      <c r="E449" s="358">
        <v>1</v>
      </c>
      <c r="F449" s="358"/>
      <c r="G449" s="358">
        <v>70</v>
      </c>
      <c r="H449" s="358" t="s">
        <v>25</v>
      </c>
      <c r="I449" s="358"/>
      <c r="J449" s="358" t="s">
        <v>26</v>
      </c>
      <c r="K449" s="359" t="b">
        <f t="shared" si="20"/>
        <v>1</v>
      </c>
      <c r="L449" s="359">
        <v>3</v>
      </c>
      <c r="M449" s="360">
        <v>2019</v>
      </c>
      <c r="N449" s="361">
        <v>9500000</v>
      </c>
      <c r="O449" s="362">
        <v>42642</v>
      </c>
      <c r="P449" s="362">
        <v>42642</v>
      </c>
    </row>
    <row r="450" spans="1:16" ht="14.25">
      <c r="A450" s="356">
        <v>2016</v>
      </c>
      <c r="B450" s="357" t="s">
        <v>476</v>
      </c>
      <c r="C450" s="357" t="s">
        <v>477</v>
      </c>
      <c r="D450" s="358">
        <v>1021011</v>
      </c>
      <c r="E450" s="358">
        <v>1</v>
      </c>
      <c r="F450" s="358"/>
      <c r="G450" s="358">
        <v>70</v>
      </c>
      <c r="H450" s="358" t="s">
        <v>25</v>
      </c>
      <c r="I450" s="358"/>
      <c r="J450" s="358" t="s">
        <v>26</v>
      </c>
      <c r="K450" s="359" t="b">
        <f t="shared" si="20"/>
        <v>1</v>
      </c>
      <c r="L450" s="359">
        <v>2</v>
      </c>
      <c r="M450" s="360">
        <v>2018</v>
      </c>
      <c r="N450" s="361">
        <v>9400000</v>
      </c>
      <c r="O450" s="362">
        <v>42642</v>
      </c>
      <c r="P450" s="362">
        <v>42642</v>
      </c>
    </row>
    <row r="451" spans="1:16" ht="14.25">
      <c r="A451" s="356">
        <v>2016</v>
      </c>
      <c r="B451" s="357" t="s">
        <v>476</v>
      </c>
      <c r="C451" s="357" t="s">
        <v>477</v>
      </c>
      <c r="D451" s="358">
        <v>1021011</v>
      </c>
      <c r="E451" s="358">
        <v>1</v>
      </c>
      <c r="F451" s="358"/>
      <c r="G451" s="358">
        <v>70</v>
      </c>
      <c r="H451" s="358" t="s">
        <v>25</v>
      </c>
      <c r="I451" s="358"/>
      <c r="J451" s="358" t="s">
        <v>26</v>
      </c>
      <c r="K451" s="359" t="b">
        <f t="shared" si="20"/>
        <v>1</v>
      </c>
      <c r="L451" s="359">
        <v>4</v>
      </c>
      <c r="M451" s="360">
        <v>2020</v>
      </c>
      <c r="N451" s="361">
        <v>0</v>
      </c>
      <c r="O451" s="362">
        <v>42642</v>
      </c>
      <c r="P451" s="362">
        <v>42642</v>
      </c>
    </row>
    <row r="452" spans="1:16" ht="14.25">
      <c r="A452" s="356">
        <v>2016</v>
      </c>
      <c r="B452" s="357" t="s">
        <v>476</v>
      </c>
      <c r="C452" s="357" t="s">
        <v>477</v>
      </c>
      <c r="D452" s="358">
        <v>1021011</v>
      </c>
      <c r="E452" s="358">
        <v>1</v>
      </c>
      <c r="F452" s="358"/>
      <c r="G452" s="358">
        <v>70</v>
      </c>
      <c r="H452" s="358" t="s">
        <v>25</v>
      </c>
      <c r="I452" s="358"/>
      <c r="J452" s="358" t="s">
        <v>26</v>
      </c>
      <c r="K452" s="359" t="b">
        <f t="shared" si="20"/>
        <v>1</v>
      </c>
      <c r="L452" s="359">
        <v>7</v>
      </c>
      <c r="M452" s="360">
        <v>2023</v>
      </c>
      <c r="N452" s="361">
        <v>0</v>
      </c>
      <c r="O452" s="362">
        <v>42642</v>
      </c>
      <c r="P452" s="362">
        <v>42642</v>
      </c>
    </row>
    <row r="453" spans="1:16" ht="14.25">
      <c r="A453" s="356">
        <v>2016</v>
      </c>
      <c r="B453" s="357" t="s">
        <v>476</v>
      </c>
      <c r="C453" s="357" t="s">
        <v>477</v>
      </c>
      <c r="D453" s="358">
        <v>1021011</v>
      </c>
      <c r="E453" s="358">
        <v>1</v>
      </c>
      <c r="F453" s="358"/>
      <c r="G453" s="358">
        <v>70</v>
      </c>
      <c r="H453" s="358" t="s">
        <v>25</v>
      </c>
      <c r="I453" s="358"/>
      <c r="J453" s="358" t="s">
        <v>26</v>
      </c>
      <c r="K453" s="359" t="b">
        <f t="shared" si="20"/>
        <v>1</v>
      </c>
      <c r="L453" s="359">
        <v>5</v>
      </c>
      <c r="M453" s="360">
        <v>2021</v>
      </c>
      <c r="N453" s="361">
        <v>0</v>
      </c>
      <c r="O453" s="362">
        <v>42642</v>
      </c>
      <c r="P453" s="362">
        <v>42642</v>
      </c>
    </row>
    <row r="454" spans="1:16" ht="14.25">
      <c r="A454" s="356">
        <v>2016</v>
      </c>
      <c r="B454" s="357" t="s">
        <v>476</v>
      </c>
      <c r="C454" s="357" t="s">
        <v>477</v>
      </c>
      <c r="D454" s="358">
        <v>1021011</v>
      </c>
      <c r="E454" s="358">
        <v>1</v>
      </c>
      <c r="F454" s="358"/>
      <c r="G454" s="358">
        <v>70</v>
      </c>
      <c r="H454" s="358" t="s">
        <v>25</v>
      </c>
      <c r="I454" s="358"/>
      <c r="J454" s="358" t="s">
        <v>26</v>
      </c>
      <c r="K454" s="359" t="b">
        <f t="shared" si="20"/>
        <v>1</v>
      </c>
      <c r="L454" s="359">
        <v>1</v>
      </c>
      <c r="M454" s="360">
        <v>2017</v>
      </c>
      <c r="N454" s="361">
        <v>9300000</v>
      </c>
      <c r="O454" s="362">
        <v>42642</v>
      </c>
      <c r="P454" s="362">
        <v>42642</v>
      </c>
    </row>
    <row r="455" spans="1:16" ht="14.25">
      <c r="A455" s="356">
        <v>2016</v>
      </c>
      <c r="B455" s="357" t="s">
        <v>476</v>
      </c>
      <c r="C455" s="357" t="s">
        <v>477</v>
      </c>
      <c r="D455" s="358">
        <v>1021011</v>
      </c>
      <c r="E455" s="358">
        <v>1</v>
      </c>
      <c r="F455" s="358"/>
      <c r="G455" s="358">
        <v>260</v>
      </c>
      <c r="H455" s="358">
        <v>4.3</v>
      </c>
      <c r="I455" s="358"/>
      <c r="J455" s="358" t="s">
        <v>82</v>
      </c>
      <c r="K455" s="359" t="b">
        <f t="shared" si="20"/>
        <v>1</v>
      </c>
      <c r="L455" s="359">
        <v>1</v>
      </c>
      <c r="M455" s="360">
        <v>2017</v>
      </c>
      <c r="N455" s="361">
        <v>0</v>
      </c>
      <c r="O455" s="362">
        <v>42642</v>
      </c>
      <c r="P455" s="362">
        <v>42642</v>
      </c>
    </row>
    <row r="456" spans="1:16" ht="14.25">
      <c r="A456" s="356">
        <v>2016</v>
      </c>
      <c r="B456" s="357" t="s">
        <v>476</v>
      </c>
      <c r="C456" s="357" t="s">
        <v>477</v>
      </c>
      <c r="D456" s="358">
        <v>1021011</v>
      </c>
      <c r="E456" s="358">
        <v>1</v>
      </c>
      <c r="F456" s="358"/>
      <c r="G456" s="358">
        <v>260</v>
      </c>
      <c r="H456" s="358">
        <v>4.3</v>
      </c>
      <c r="I456" s="358"/>
      <c r="J456" s="358" t="s">
        <v>82</v>
      </c>
      <c r="K456" s="359" t="b">
        <f t="shared" si="20"/>
        <v>1</v>
      </c>
      <c r="L456" s="359">
        <v>0</v>
      </c>
      <c r="M456" s="360">
        <v>2016</v>
      </c>
      <c r="N456" s="361">
        <v>815692</v>
      </c>
      <c r="O456" s="362">
        <v>42642</v>
      </c>
      <c r="P456" s="362">
        <v>42642</v>
      </c>
    </row>
    <row r="457" spans="1:16" ht="14.25">
      <c r="A457" s="356">
        <v>2016</v>
      </c>
      <c r="B457" s="357" t="s">
        <v>476</v>
      </c>
      <c r="C457" s="357" t="s">
        <v>477</v>
      </c>
      <c r="D457" s="358">
        <v>1021011</v>
      </c>
      <c r="E457" s="358">
        <v>1</v>
      </c>
      <c r="F457" s="358"/>
      <c r="G457" s="358">
        <v>260</v>
      </c>
      <c r="H457" s="358">
        <v>4.3</v>
      </c>
      <c r="I457" s="358"/>
      <c r="J457" s="358" t="s">
        <v>82</v>
      </c>
      <c r="K457" s="359" t="b">
        <f t="shared" si="20"/>
        <v>1</v>
      </c>
      <c r="L457" s="359">
        <v>8</v>
      </c>
      <c r="M457" s="360">
        <v>2024</v>
      </c>
      <c r="N457" s="361">
        <v>0</v>
      </c>
      <c r="O457" s="362">
        <v>42642</v>
      </c>
      <c r="P457" s="362">
        <v>42642</v>
      </c>
    </row>
    <row r="458" spans="1:16" ht="14.25">
      <c r="A458" s="356">
        <v>2016</v>
      </c>
      <c r="B458" s="357" t="s">
        <v>476</v>
      </c>
      <c r="C458" s="357" t="s">
        <v>477</v>
      </c>
      <c r="D458" s="358">
        <v>1021011</v>
      </c>
      <c r="E458" s="358">
        <v>1</v>
      </c>
      <c r="F458" s="358"/>
      <c r="G458" s="358">
        <v>260</v>
      </c>
      <c r="H458" s="358">
        <v>4.3</v>
      </c>
      <c r="I458" s="358"/>
      <c r="J458" s="358" t="s">
        <v>82</v>
      </c>
      <c r="K458" s="359" t="b">
        <f t="shared" si="20"/>
        <v>1</v>
      </c>
      <c r="L458" s="359">
        <v>6</v>
      </c>
      <c r="M458" s="360">
        <v>2022</v>
      </c>
      <c r="N458" s="361">
        <v>0</v>
      </c>
      <c r="O458" s="362">
        <v>42642</v>
      </c>
      <c r="P458" s="362">
        <v>42642</v>
      </c>
    </row>
    <row r="459" spans="1:16" ht="14.25">
      <c r="A459" s="356">
        <v>2016</v>
      </c>
      <c r="B459" s="357" t="s">
        <v>476</v>
      </c>
      <c r="C459" s="357" t="s">
        <v>477</v>
      </c>
      <c r="D459" s="358">
        <v>1021011</v>
      </c>
      <c r="E459" s="358">
        <v>1</v>
      </c>
      <c r="F459" s="358"/>
      <c r="G459" s="358">
        <v>260</v>
      </c>
      <c r="H459" s="358">
        <v>4.3</v>
      </c>
      <c r="I459" s="358"/>
      <c r="J459" s="358" t="s">
        <v>82</v>
      </c>
      <c r="K459" s="359" t="b">
        <f t="shared" si="20"/>
        <v>1</v>
      </c>
      <c r="L459" s="359">
        <v>5</v>
      </c>
      <c r="M459" s="360">
        <v>2021</v>
      </c>
      <c r="N459" s="361">
        <v>0</v>
      </c>
      <c r="O459" s="362">
        <v>42642</v>
      </c>
      <c r="P459" s="362">
        <v>42642</v>
      </c>
    </row>
    <row r="460" spans="1:16" ht="14.25">
      <c r="A460" s="356">
        <v>2016</v>
      </c>
      <c r="B460" s="357" t="s">
        <v>476</v>
      </c>
      <c r="C460" s="357" t="s">
        <v>477</v>
      </c>
      <c r="D460" s="358">
        <v>1021011</v>
      </c>
      <c r="E460" s="358">
        <v>1</v>
      </c>
      <c r="F460" s="358"/>
      <c r="G460" s="358">
        <v>260</v>
      </c>
      <c r="H460" s="358">
        <v>4.3</v>
      </c>
      <c r="I460" s="358"/>
      <c r="J460" s="358" t="s">
        <v>82</v>
      </c>
      <c r="K460" s="359" t="b">
        <f t="shared" si="20"/>
        <v>1</v>
      </c>
      <c r="L460" s="359">
        <v>4</v>
      </c>
      <c r="M460" s="360">
        <v>2020</v>
      </c>
      <c r="N460" s="361">
        <v>0</v>
      </c>
      <c r="O460" s="362">
        <v>42642</v>
      </c>
      <c r="P460" s="362">
        <v>42642</v>
      </c>
    </row>
    <row r="461" spans="1:16" ht="14.25">
      <c r="A461" s="356">
        <v>2016</v>
      </c>
      <c r="B461" s="357" t="s">
        <v>476</v>
      </c>
      <c r="C461" s="357" t="s">
        <v>477</v>
      </c>
      <c r="D461" s="358">
        <v>1021011</v>
      </c>
      <c r="E461" s="358">
        <v>1</v>
      </c>
      <c r="F461" s="358"/>
      <c r="G461" s="358">
        <v>260</v>
      </c>
      <c r="H461" s="358">
        <v>4.3</v>
      </c>
      <c r="I461" s="358"/>
      <c r="J461" s="358" t="s">
        <v>82</v>
      </c>
      <c r="K461" s="359" t="b">
        <f t="shared" si="20"/>
        <v>1</v>
      </c>
      <c r="L461" s="359">
        <v>2</v>
      </c>
      <c r="M461" s="360">
        <v>2018</v>
      </c>
      <c r="N461" s="361">
        <v>0</v>
      </c>
      <c r="O461" s="362">
        <v>42642</v>
      </c>
      <c r="P461" s="362">
        <v>42642</v>
      </c>
    </row>
    <row r="462" spans="1:16" ht="14.25">
      <c r="A462" s="356">
        <v>2016</v>
      </c>
      <c r="B462" s="357" t="s">
        <v>476</v>
      </c>
      <c r="C462" s="357" t="s">
        <v>477</v>
      </c>
      <c r="D462" s="358">
        <v>1021011</v>
      </c>
      <c r="E462" s="358">
        <v>1</v>
      </c>
      <c r="F462" s="358"/>
      <c r="G462" s="358">
        <v>260</v>
      </c>
      <c r="H462" s="358">
        <v>4.3</v>
      </c>
      <c r="I462" s="358"/>
      <c r="J462" s="358" t="s">
        <v>82</v>
      </c>
      <c r="K462" s="359" t="b">
        <f t="shared" si="20"/>
        <v>1</v>
      </c>
      <c r="L462" s="359">
        <v>7</v>
      </c>
      <c r="M462" s="360">
        <v>2023</v>
      </c>
      <c r="N462" s="361">
        <v>0</v>
      </c>
      <c r="O462" s="362">
        <v>42642</v>
      </c>
      <c r="P462" s="362">
        <v>42642</v>
      </c>
    </row>
    <row r="463" spans="1:16" ht="14.25">
      <c r="A463" s="356">
        <v>2016</v>
      </c>
      <c r="B463" s="357" t="s">
        <v>476</v>
      </c>
      <c r="C463" s="357" t="s">
        <v>477</v>
      </c>
      <c r="D463" s="358">
        <v>1021011</v>
      </c>
      <c r="E463" s="358">
        <v>1</v>
      </c>
      <c r="F463" s="358"/>
      <c r="G463" s="358">
        <v>10</v>
      </c>
      <c r="H463" s="358">
        <v>1</v>
      </c>
      <c r="I463" s="358" t="s">
        <v>479</v>
      </c>
      <c r="J463" s="358" t="s">
        <v>9</v>
      </c>
      <c r="K463" s="359" t="b">
        <f t="shared" si="20"/>
        <v>1</v>
      </c>
      <c r="L463" s="359">
        <v>3</v>
      </c>
      <c r="M463" s="360">
        <v>2019</v>
      </c>
      <c r="N463" s="361">
        <v>40000000</v>
      </c>
      <c r="O463" s="362">
        <v>42642</v>
      </c>
      <c r="P463" s="362">
        <v>42642</v>
      </c>
    </row>
    <row r="464" spans="1:16" ht="14.25">
      <c r="A464" s="356">
        <v>2016</v>
      </c>
      <c r="B464" s="357" t="s">
        <v>476</v>
      </c>
      <c r="C464" s="357" t="s">
        <v>477</v>
      </c>
      <c r="D464" s="358">
        <v>1021011</v>
      </c>
      <c r="E464" s="358">
        <v>1</v>
      </c>
      <c r="F464" s="358"/>
      <c r="G464" s="358">
        <v>10</v>
      </c>
      <c r="H464" s="358">
        <v>1</v>
      </c>
      <c r="I464" s="358" t="s">
        <v>479</v>
      </c>
      <c r="J464" s="358" t="s">
        <v>9</v>
      </c>
      <c r="K464" s="359" t="b">
        <f t="shared" si="20"/>
        <v>1</v>
      </c>
      <c r="L464" s="359">
        <v>4</v>
      </c>
      <c r="M464" s="360">
        <v>2020</v>
      </c>
      <c r="N464" s="361">
        <v>41000000</v>
      </c>
      <c r="O464" s="362">
        <v>42642</v>
      </c>
      <c r="P464" s="362">
        <v>42642</v>
      </c>
    </row>
    <row r="465" spans="1:16" ht="14.25">
      <c r="A465" s="356">
        <v>2016</v>
      </c>
      <c r="B465" s="357" t="s">
        <v>476</v>
      </c>
      <c r="C465" s="357" t="s">
        <v>477</v>
      </c>
      <c r="D465" s="358">
        <v>1021011</v>
      </c>
      <c r="E465" s="358">
        <v>1</v>
      </c>
      <c r="F465" s="358"/>
      <c r="G465" s="358">
        <v>10</v>
      </c>
      <c r="H465" s="358">
        <v>1</v>
      </c>
      <c r="I465" s="358" t="s">
        <v>479</v>
      </c>
      <c r="J465" s="358" t="s">
        <v>9</v>
      </c>
      <c r="K465" s="359" t="b">
        <f t="shared" si="20"/>
        <v>1</v>
      </c>
      <c r="L465" s="359">
        <v>7</v>
      </c>
      <c r="M465" s="360">
        <v>2023</v>
      </c>
      <c r="N465" s="361">
        <v>44000000</v>
      </c>
      <c r="O465" s="362">
        <v>42642</v>
      </c>
      <c r="P465" s="362">
        <v>42642</v>
      </c>
    </row>
    <row r="466" spans="1:16" ht="14.25">
      <c r="A466" s="356">
        <v>2016</v>
      </c>
      <c r="B466" s="357" t="s">
        <v>476</v>
      </c>
      <c r="C466" s="357" t="s">
        <v>477</v>
      </c>
      <c r="D466" s="358">
        <v>1021011</v>
      </c>
      <c r="E466" s="358">
        <v>1</v>
      </c>
      <c r="F466" s="358"/>
      <c r="G466" s="358">
        <v>10</v>
      </c>
      <c r="H466" s="358">
        <v>1</v>
      </c>
      <c r="I466" s="358" t="s">
        <v>479</v>
      </c>
      <c r="J466" s="358" t="s">
        <v>9</v>
      </c>
      <c r="K466" s="359" t="b">
        <f t="shared" si="20"/>
        <v>1</v>
      </c>
      <c r="L466" s="359">
        <v>5</v>
      </c>
      <c r="M466" s="360">
        <v>2021</v>
      </c>
      <c r="N466" s="361">
        <v>42000000</v>
      </c>
      <c r="O466" s="362">
        <v>42642</v>
      </c>
      <c r="P466" s="362">
        <v>42642</v>
      </c>
    </row>
    <row r="467" spans="1:16" ht="14.25">
      <c r="A467" s="356">
        <v>2016</v>
      </c>
      <c r="B467" s="357" t="s">
        <v>476</v>
      </c>
      <c r="C467" s="357" t="s">
        <v>477</v>
      </c>
      <c r="D467" s="358">
        <v>1021011</v>
      </c>
      <c r="E467" s="358">
        <v>1</v>
      </c>
      <c r="F467" s="358"/>
      <c r="G467" s="358">
        <v>10</v>
      </c>
      <c r="H467" s="358">
        <v>1</v>
      </c>
      <c r="I467" s="358" t="s">
        <v>479</v>
      </c>
      <c r="J467" s="358" t="s">
        <v>9</v>
      </c>
      <c r="K467" s="359" t="b">
        <f t="shared" si="20"/>
        <v>1</v>
      </c>
      <c r="L467" s="359">
        <v>2</v>
      </c>
      <c r="M467" s="360">
        <v>2018</v>
      </c>
      <c r="N467" s="361">
        <v>39000000</v>
      </c>
      <c r="O467" s="362">
        <v>42642</v>
      </c>
      <c r="P467" s="362">
        <v>42642</v>
      </c>
    </row>
    <row r="468" spans="1:16" ht="14.25">
      <c r="A468" s="356">
        <v>2016</v>
      </c>
      <c r="B468" s="357" t="s">
        <v>476</v>
      </c>
      <c r="C468" s="357" t="s">
        <v>477</v>
      </c>
      <c r="D468" s="358">
        <v>1021011</v>
      </c>
      <c r="E468" s="358">
        <v>1</v>
      </c>
      <c r="F468" s="358"/>
      <c r="G468" s="358">
        <v>10</v>
      </c>
      <c r="H468" s="358">
        <v>1</v>
      </c>
      <c r="I468" s="358" t="s">
        <v>479</v>
      </c>
      <c r="J468" s="358" t="s">
        <v>9</v>
      </c>
      <c r="K468" s="359" t="b">
        <f t="shared" si="20"/>
        <v>1</v>
      </c>
      <c r="L468" s="359">
        <v>6</v>
      </c>
      <c r="M468" s="360">
        <v>2022</v>
      </c>
      <c r="N468" s="361">
        <v>43000000</v>
      </c>
      <c r="O468" s="362">
        <v>42642</v>
      </c>
      <c r="P468" s="362">
        <v>42642</v>
      </c>
    </row>
    <row r="469" spans="1:16" ht="14.25">
      <c r="A469" s="356">
        <v>2016</v>
      </c>
      <c r="B469" s="357" t="s">
        <v>476</v>
      </c>
      <c r="C469" s="357" t="s">
        <v>477</v>
      </c>
      <c r="D469" s="358">
        <v>1021011</v>
      </c>
      <c r="E469" s="358">
        <v>1</v>
      </c>
      <c r="F469" s="358"/>
      <c r="G469" s="358">
        <v>10</v>
      </c>
      <c r="H469" s="358">
        <v>1</v>
      </c>
      <c r="I469" s="358" t="s">
        <v>479</v>
      </c>
      <c r="J469" s="358" t="s">
        <v>9</v>
      </c>
      <c r="K469" s="359" t="b">
        <f t="shared" si="20"/>
        <v>1</v>
      </c>
      <c r="L469" s="359">
        <v>0</v>
      </c>
      <c r="M469" s="360">
        <v>2016</v>
      </c>
      <c r="N469" s="361">
        <v>40703030.39</v>
      </c>
      <c r="O469" s="362">
        <v>42642</v>
      </c>
      <c r="P469" s="362">
        <v>42642</v>
      </c>
    </row>
    <row r="470" spans="1:16" ht="14.25">
      <c r="A470" s="356">
        <v>2016</v>
      </c>
      <c r="B470" s="357" t="s">
        <v>476</v>
      </c>
      <c r="C470" s="357" t="s">
        <v>477</v>
      </c>
      <c r="D470" s="358">
        <v>1021011</v>
      </c>
      <c r="E470" s="358">
        <v>1</v>
      </c>
      <c r="F470" s="358"/>
      <c r="G470" s="358">
        <v>10</v>
      </c>
      <c r="H470" s="358">
        <v>1</v>
      </c>
      <c r="I470" s="358" t="s">
        <v>479</v>
      </c>
      <c r="J470" s="358" t="s">
        <v>9</v>
      </c>
      <c r="K470" s="359" t="b">
        <f t="shared" si="20"/>
        <v>1</v>
      </c>
      <c r="L470" s="359">
        <v>1</v>
      </c>
      <c r="M470" s="360">
        <v>2017</v>
      </c>
      <c r="N470" s="361">
        <v>39352887.87</v>
      </c>
      <c r="O470" s="362">
        <v>42642</v>
      </c>
      <c r="P470" s="362">
        <v>42642</v>
      </c>
    </row>
    <row r="471" spans="1:16" ht="14.25">
      <c r="A471" s="356">
        <v>2016</v>
      </c>
      <c r="B471" s="357" t="s">
        <v>476</v>
      </c>
      <c r="C471" s="357" t="s">
        <v>477</v>
      </c>
      <c r="D471" s="358">
        <v>1021011</v>
      </c>
      <c r="E471" s="358">
        <v>1</v>
      </c>
      <c r="F471" s="358"/>
      <c r="G471" s="358">
        <v>10</v>
      </c>
      <c r="H471" s="358">
        <v>1</v>
      </c>
      <c r="I471" s="358" t="s">
        <v>479</v>
      </c>
      <c r="J471" s="358" t="s">
        <v>9</v>
      </c>
      <c r="K471" s="359" t="b">
        <f t="shared" si="20"/>
        <v>1</v>
      </c>
      <c r="L471" s="359">
        <v>8</v>
      </c>
      <c r="M471" s="360">
        <v>2024</v>
      </c>
      <c r="N471" s="361">
        <v>45000000</v>
      </c>
      <c r="O471" s="362">
        <v>42642</v>
      </c>
      <c r="P471" s="362">
        <v>42642</v>
      </c>
    </row>
    <row r="472" spans="1:16" ht="14.25">
      <c r="A472" s="356">
        <v>2016</v>
      </c>
      <c r="B472" s="357" t="s">
        <v>476</v>
      </c>
      <c r="C472" s="357" t="s">
        <v>477</v>
      </c>
      <c r="D472" s="358">
        <v>1021011</v>
      </c>
      <c r="E472" s="358">
        <v>1</v>
      </c>
      <c r="F472" s="358"/>
      <c r="G472" s="358">
        <v>350</v>
      </c>
      <c r="H472" s="358">
        <v>6</v>
      </c>
      <c r="I472" s="358"/>
      <c r="J472" s="358" t="s">
        <v>106</v>
      </c>
      <c r="K472" s="359" t="b">
        <f t="shared" si="20"/>
        <v>1</v>
      </c>
      <c r="L472" s="359">
        <v>1</v>
      </c>
      <c r="M472" s="360">
        <v>2017</v>
      </c>
      <c r="N472" s="361">
        <v>14691912</v>
      </c>
      <c r="O472" s="362">
        <v>42642</v>
      </c>
      <c r="P472" s="362">
        <v>42642</v>
      </c>
    </row>
    <row r="473" spans="1:16" ht="14.25">
      <c r="A473" s="356">
        <v>2016</v>
      </c>
      <c r="B473" s="357" t="s">
        <v>476</v>
      </c>
      <c r="C473" s="357" t="s">
        <v>477</v>
      </c>
      <c r="D473" s="358">
        <v>1021011</v>
      </c>
      <c r="E473" s="358">
        <v>1</v>
      </c>
      <c r="F473" s="358"/>
      <c r="G473" s="358">
        <v>350</v>
      </c>
      <c r="H473" s="358">
        <v>6</v>
      </c>
      <c r="I473" s="358"/>
      <c r="J473" s="358" t="s">
        <v>106</v>
      </c>
      <c r="K473" s="359" t="b">
        <f t="shared" si="20"/>
        <v>1</v>
      </c>
      <c r="L473" s="359">
        <v>6</v>
      </c>
      <c r="M473" s="360">
        <v>2022</v>
      </c>
      <c r="N473" s="361">
        <v>4483692</v>
      </c>
      <c r="O473" s="362">
        <v>42642</v>
      </c>
      <c r="P473" s="362">
        <v>42642</v>
      </c>
    </row>
    <row r="474" spans="1:16" ht="14.25">
      <c r="A474" s="356">
        <v>2016</v>
      </c>
      <c r="B474" s="357" t="s">
        <v>476</v>
      </c>
      <c r="C474" s="357" t="s">
        <v>477</v>
      </c>
      <c r="D474" s="358">
        <v>1021011</v>
      </c>
      <c r="E474" s="358">
        <v>1</v>
      </c>
      <c r="F474" s="358"/>
      <c r="G474" s="358">
        <v>350</v>
      </c>
      <c r="H474" s="358">
        <v>6</v>
      </c>
      <c r="I474" s="358"/>
      <c r="J474" s="358" t="s">
        <v>106</v>
      </c>
      <c r="K474" s="359" t="b">
        <f t="shared" si="20"/>
        <v>1</v>
      </c>
      <c r="L474" s="359">
        <v>8</v>
      </c>
      <c r="M474" s="360">
        <v>2024</v>
      </c>
      <c r="N474" s="361">
        <v>0</v>
      </c>
      <c r="O474" s="362">
        <v>42642</v>
      </c>
      <c r="P474" s="362">
        <v>42642</v>
      </c>
    </row>
    <row r="475" spans="1:16" ht="14.25">
      <c r="A475" s="356">
        <v>2016</v>
      </c>
      <c r="B475" s="357" t="s">
        <v>476</v>
      </c>
      <c r="C475" s="357" t="s">
        <v>477</v>
      </c>
      <c r="D475" s="358">
        <v>1021011</v>
      </c>
      <c r="E475" s="358">
        <v>1</v>
      </c>
      <c r="F475" s="358"/>
      <c r="G475" s="358">
        <v>350</v>
      </c>
      <c r="H475" s="358">
        <v>6</v>
      </c>
      <c r="I475" s="358"/>
      <c r="J475" s="358" t="s">
        <v>106</v>
      </c>
      <c r="K475" s="359" t="b">
        <f t="shared" si="20"/>
        <v>1</v>
      </c>
      <c r="L475" s="359">
        <v>2</v>
      </c>
      <c r="M475" s="360">
        <v>2018</v>
      </c>
      <c r="N475" s="361">
        <v>13013708</v>
      </c>
      <c r="O475" s="362">
        <v>42642</v>
      </c>
      <c r="P475" s="362">
        <v>42642</v>
      </c>
    </row>
    <row r="476" spans="1:16" ht="14.25">
      <c r="A476" s="356">
        <v>2016</v>
      </c>
      <c r="B476" s="357" t="s">
        <v>476</v>
      </c>
      <c r="C476" s="357" t="s">
        <v>477</v>
      </c>
      <c r="D476" s="358">
        <v>1021011</v>
      </c>
      <c r="E476" s="358">
        <v>1</v>
      </c>
      <c r="F476" s="358"/>
      <c r="G476" s="358">
        <v>350</v>
      </c>
      <c r="H476" s="358">
        <v>6</v>
      </c>
      <c r="I476" s="358"/>
      <c r="J476" s="358" t="s">
        <v>106</v>
      </c>
      <c r="K476" s="359" t="b">
        <f t="shared" si="20"/>
        <v>1</v>
      </c>
      <c r="L476" s="359">
        <v>0</v>
      </c>
      <c r="M476" s="360">
        <v>2016</v>
      </c>
      <c r="N476" s="361">
        <v>16170116</v>
      </c>
      <c r="O476" s="362">
        <v>42642</v>
      </c>
      <c r="P476" s="362">
        <v>42642</v>
      </c>
    </row>
    <row r="477" spans="1:16" ht="14.25">
      <c r="A477" s="356">
        <v>2016</v>
      </c>
      <c r="B477" s="357" t="s">
        <v>476</v>
      </c>
      <c r="C477" s="357" t="s">
        <v>477</v>
      </c>
      <c r="D477" s="358">
        <v>1021011</v>
      </c>
      <c r="E477" s="358">
        <v>1</v>
      </c>
      <c r="F477" s="358"/>
      <c r="G477" s="358">
        <v>350</v>
      </c>
      <c r="H477" s="358">
        <v>6</v>
      </c>
      <c r="I477" s="358"/>
      <c r="J477" s="358" t="s">
        <v>106</v>
      </c>
      <c r="K477" s="359" t="b">
        <f t="shared" si="20"/>
        <v>1</v>
      </c>
      <c r="L477" s="359">
        <v>7</v>
      </c>
      <c r="M477" s="360">
        <v>2023</v>
      </c>
      <c r="N477" s="361">
        <v>2065692</v>
      </c>
      <c r="O477" s="362">
        <v>42642</v>
      </c>
      <c r="P477" s="362">
        <v>42642</v>
      </c>
    </row>
    <row r="478" spans="1:16" ht="14.25">
      <c r="A478" s="356">
        <v>2016</v>
      </c>
      <c r="B478" s="357" t="s">
        <v>476</v>
      </c>
      <c r="C478" s="357" t="s">
        <v>477</v>
      </c>
      <c r="D478" s="358">
        <v>1021011</v>
      </c>
      <c r="E478" s="358">
        <v>1</v>
      </c>
      <c r="F478" s="358"/>
      <c r="G478" s="358">
        <v>350</v>
      </c>
      <c r="H478" s="358">
        <v>6</v>
      </c>
      <c r="I478" s="358"/>
      <c r="J478" s="358" t="s">
        <v>106</v>
      </c>
      <c r="K478" s="359" t="b">
        <f t="shared" si="20"/>
        <v>1</v>
      </c>
      <c r="L478" s="359">
        <v>5</v>
      </c>
      <c r="M478" s="360">
        <v>2021</v>
      </c>
      <c r="N478" s="361">
        <v>6733696</v>
      </c>
      <c r="O478" s="362">
        <v>42642</v>
      </c>
      <c r="P478" s="362">
        <v>42642</v>
      </c>
    </row>
    <row r="479" spans="1:16" ht="14.25">
      <c r="A479" s="356">
        <v>2016</v>
      </c>
      <c r="B479" s="357" t="s">
        <v>476</v>
      </c>
      <c r="C479" s="357" t="s">
        <v>477</v>
      </c>
      <c r="D479" s="358">
        <v>1021011</v>
      </c>
      <c r="E479" s="358">
        <v>1</v>
      </c>
      <c r="F479" s="358"/>
      <c r="G479" s="358">
        <v>350</v>
      </c>
      <c r="H479" s="358">
        <v>6</v>
      </c>
      <c r="I479" s="358"/>
      <c r="J479" s="358" t="s">
        <v>106</v>
      </c>
      <c r="K479" s="359" t="b">
        <f t="shared" si="20"/>
        <v>1</v>
      </c>
      <c r="L479" s="359">
        <v>3</v>
      </c>
      <c r="M479" s="360">
        <v>2019</v>
      </c>
      <c r="N479" s="361">
        <v>11153704</v>
      </c>
      <c r="O479" s="362">
        <v>42642</v>
      </c>
      <c r="P479" s="362">
        <v>42642</v>
      </c>
    </row>
    <row r="480" spans="1:16" ht="14.25">
      <c r="A480" s="356">
        <v>2016</v>
      </c>
      <c r="B480" s="357" t="s">
        <v>476</v>
      </c>
      <c r="C480" s="357" t="s">
        <v>477</v>
      </c>
      <c r="D480" s="358">
        <v>1021011</v>
      </c>
      <c r="E480" s="358">
        <v>1</v>
      </c>
      <c r="F480" s="358"/>
      <c r="G480" s="358">
        <v>350</v>
      </c>
      <c r="H480" s="358">
        <v>6</v>
      </c>
      <c r="I480" s="358"/>
      <c r="J480" s="358" t="s">
        <v>106</v>
      </c>
      <c r="K480" s="359" t="b">
        <f t="shared" si="20"/>
        <v>1</v>
      </c>
      <c r="L480" s="359">
        <v>4</v>
      </c>
      <c r="M480" s="360">
        <v>2020</v>
      </c>
      <c r="N480" s="361">
        <v>8943700</v>
      </c>
      <c r="O480" s="362">
        <v>42642</v>
      </c>
      <c r="P480" s="362">
        <v>42642</v>
      </c>
    </row>
    <row r="481" spans="1:16" ht="14.25">
      <c r="A481" s="356">
        <v>2016</v>
      </c>
      <c r="B481" s="357" t="s">
        <v>476</v>
      </c>
      <c r="C481" s="357" t="s">
        <v>477</v>
      </c>
      <c r="D481" s="358">
        <v>1021011</v>
      </c>
      <c r="E481" s="358">
        <v>1</v>
      </c>
      <c r="F481" s="358"/>
      <c r="G481" s="358">
        <v>630</v>
      </c>
      <c r="H481" s="358">
        <v>11.4</v>
      </c>
      <c r="I481" s="358"/>
      <c r="J481" s="358" t="s">
        <v>164</v>
      </c>
      <c r="K481" s="359" t="b">
        <f t="shared" si="20"/>
        <v>1</v>
      </c>
      <c r="L481" s="359">
        <v>1</v>
      </c>
      <c r="M481" s="360">
        <v>2017</v>
      </c>
      <c r="N481" s="361">
        <v>0</v>
      </c>
      <c r="O481" s="362">
        <v>42642</v>
      </c>
      <c r="P481" s="362">
        <v>42642</v>
      </c>
    </row>
    <row r="482" spans="1:16" ht="14.25">
      <c r="A482" s="356">
        <v>2016</v>
      </c>
      <c r="B482" s="357" t="s">
        <v>476</v>
      </c>
      <c r="C482" s="357" t="s">
        <v>477</v>
      </c>
      <c r="D482" s="358">
        <v>1021011</v>
      </c>
      <c r="E482" s="358">
        <v>1</v>
      </c>
      <c r="F482" s="358"/>
      <c r="G482" s="358">
        <v>630</v>
      </c>
      <c r="H482" s="358">
        <v>11.4</v>
      </c>
      <c r="I482" s="358"/>
      <c r="J482" s="358" t="s">
        <v>164</v>
      </c>
      <c r="K482" s="359" t="b">
        <f t="shared" si="20"/>
        <v>1</v>
      </c>
      <c r="L482" s="359">
        <v>4</v>
      </c>
      <c r="M482" s="360">
        <v>2020</v>
      </c>
      <c r="N482" s="361">
        <v>0</v>
      </c>
      <c r="O482" s="362">
        <v>42642</v>
      </c>
      <c r="P482" s="362">
        <v>42642</v>
      </c>
    </row>
    <row r="483" spans="1:16" ht="14.25">
      <c r="A483" s="356">
        <v>2016</v>
      </c>
      <c r="B483" s="357" t="s">
        <v>476</v>
      </c>
      <c r="C483" s="357" t="s">
        <v>477</v>
      </c>
      <c r="D483" s="358">
        <v>1021011</v>
      </c>
      <c r="E483" s="358">
        <v>1</v>
      </c>
      <c r="F483" s="358"/>
      <c r="G483" s="358">
        <v>630</v>
      </c>
      <c r="H483" s="358">
        <v>11.4</v>
      </c>
      <c r="I483" s="358"/>
      <c r="J483" s="358" t="s">
        <v>164</v>
      </c>
      <c r="K483" s="359" t="b">
        <f t="shared" si="20"/>
        <v>1</v>
      </c>
      <c r="L483" s="359">
        <v>8</v>
      </c>
      <c r="M483" s="360">
        <v>2024</v>
      </c>
      <c r="N483" s="361">
        <v>0</v>
      </c>
      <c r="O483" s="362">
        <v>42642</v>
      </c>
      <c r="P483" s="362">
        <v>42642</v>
      </c>
    </row>
    <row r="484" spans="1:16" ht="14.25">
      <c r="A484" s="356">
        <v>2016</v>
      </c>
      <c r="B484" s="357" t="s">
        <v>476</v>
      </c>
      <c r="C484" s="357" t="s">
        <v>477</v>
      </c>
      <c r="D484" s="358">
        <v>1021011</v>
      </c>
      <c r="E484" s="358">
        <v>1</v>
      </c>
      <c r="F484" s="358"/>
      <c r="G484" s="358">
        <v>630</v>
      </c>
      <c r="H484" s="358">
        <v>11.4</v>
      </c>
      <c r="I484" s="358"/>
      <c r="J484" s="358" t="s">
        <v>164</v>
      </c>
      <c r="K484" s="359" t="b">
        <f t="shared" si="20"/>
        <v>1</v>
      </c>
      <c r="L484" s="359">
        <v>7</v>
      </c>
      <c r="M484" s="360">
        <v>2023</v>
      </c>
      <c r="N484" s="361">
        <v>0</v>
      </c>
      <c r="O484" s="362">
        <v>42642</v>
      </c>
      <c r="P484" s="362">
        <v>42642</v>
      </c>
    </row>
    <row r="485" spans="1:16" ht="14.25">
      <c r="A485" s="356">
        <v>2016</v>
      </c>
      <c r="B485" s="357" t="s">
        <v>476</v>
      </c>
      <c r="C485" s="357" t="s">
        <v>477</v>
      </c>
      <c r="D485" s="358">
        <v>1021011</v>
      </c>
      <c r="E485" s="358">
        <v>1</v>
      </c>
      <c r="F485" s="358"/>
      <c r="G485" s="358">
        <v>630</v>
      </c>
      <c r="H485" s="358">
        <v>11.4</v>
      </c>
      <c r="I485" s="358"/>
      <c r="J485" s="358" t="s">
        <v>164</v>
      </c>
      <c r="K485" s="359" t="b">
        <f t="shared" si="20"/>
        <v>1</v>
      </c>
      <c r="L485" s="359">
        <v>0</v>
      </c>
      <c r="M485" s="360">
        <v>2016</v>
      </c>
      <c r="N485" s="361">
        <v>1263017.73</v>
      </c>
      <c r="O485" s="362">
        <v>42642</v>
      </c>
      <c r="P485" s="362">
        <v>42642</v>
      </c>
    </row>
    <row r="486" spans="1:16" ht="14.25">
      <c r="A486" s="356">
        <v>2016</v>
      </c>
      <c r="B486" s="357" t="s">
        <v>476</v>
      </c>
      <c r="C486" s="357" t="s">
        <v>477</v>
      </c>
      <c r="D486" s="358">
        <v>1021011</v>
      </c>
      <c r="E486" s="358">
        <v>1</v>
      </c>
      <c r="F486" s="358"/>
      <c r="G486" s="358">
        <v>630</v>
      </c>
      <c r="H486" s="358">
        <v>11.4</v>
      </c>
      <c r="I486" s="358"/>
      <c r="J486" s="358" t="s">
        <v>164</v>
      </c>
      <c r="K486" s="359" t="b">
        <f t="shared" si="20"/>
        <v>1</v>
      </c>
      <c r="L486" s="359">
        <v>3</v>
      </c>
      <c r="M486" s="360">
        <v>2019</v>
      </c>
      <c r="N486" s="361">
        <v>0</v>
      </c>
      <c r="O486" s="362">
        <v>42642</v>
      </c>
      <c r="P486" s="362">
        <v>42642</v>
      </c>
    </row>
    <row r="487" spans="1:16" ht="14.25">
      <c r="A487" s="356">
        <v>2016</v>
      </c>
      <c r="B487" s="357" t="s">
        <v>476</v>
      </c>
      <c r="C487" s="357" t="s">
        <v>477</v>
      </c>
      <c r="D487" s="358">
        <v>1021011</v>
      </c>
      <c r="E487" s="358">
        <v>1</v>
      </c>
      <c r="F487" s="358"/>
      <c r="G487" s="358">
        <v>630</v>
      </c>
      <c r="H487" s="358">
        <v>11.4</v>
      </c>
      <c r="I487" s="358"/>
      <c r="J487" s="358" t="s">
        <v>164</v>
      </c>
      <c r="K487" s="359" t="b">
        <f t="shared" si="20"/>
        <v>1</v>
      </c>
      <c r="L487" s="359">
        <v>6</v>
      </c>
      <c r="M487" s="360">
        <v>2022</v>
      </c>
      <c r="N487" s="361">
        <v>0</v>
      </c>
      <c r="O487" s="362">
        <v>42642</v>
      </c>
      <c r="P487" s="362">
        <v>42642</v>
      </c>
    </row>
    <row r="488" spans="1:16" ht="14.25">
      <c r="A488" s="356">
        <v>2016</v>
      </c>
      <c r="B488" s="357" t="s">
        <v>476</v>
      </c>
      <c r="C488" s="357" t="s">
        <v>477</v>
      </c>
      <c r="D488" s="358">
        <v>1021011</v>
      </c>
      <c r="E488" s="358">
        <v>1</v>
      </c>
      <c r="F488" s="358"/>
      <c r="G488" s="358">
        <v>630</v>
      </c>
      <c r="H488" s="358">
        <v>11.4</v>
      </c>
      <c r="I488" s="358"/>
      <c r="J488" s="358" t="s">
        <v>164</v>
      </c>
      <c r="K488" s="359" t="b">
        <f t="shared" si="20"/>
        <v>1</v>
      </c>
      <c r="L488" s="359">
        <v>2</v>
      </c>
      <c r="M488" s="360">
        <v>2018</v>
      </c>
      <c r="N488" s="361">
        <v>0</v>
      </c>
      <c r="O488" s="362">
        <v>42642</v>
      </c>
      <c r="P488" s="362">
        <v>42642</v>
      </c>
    </row>
    <row r="489" spans="1:16" ht="14.25">
      <c r="A489" s="356">
        <v>2016</v>
      </c>
      <c r="B489" s="357" t="s">
        <v>476</v>
      </c>
      <c r="C489" s="357" t="s">
        <v>477</v>
      </c>
      <c r="D489" s="358">
        <v>1021011</v>
      </c>
      <c r="E489" s="358">
        <v>1</v>
      </c>
      <c r="F489" s="358"/>
      <c r="G489" s="358">
        <v>630</v>
      </c>
      <c r="H489" s="358">
        <v>11.4</v>
      </c>
      <c r="I489" s="358"/>
      <c r="J489" s="358" t="s">
        <v>164</v>
      </c>
      <c r="K489" s="359" t="b">
        <f t="shared" si="20"/>
        <v>1</v>
      </c>
      <c r="L489" s="359">
        <v>5</v>
      </c>
      <c r="M489" s="360">
        <v>2021</v>
      </c>
      <c r="N489" s="361">
        <v>0</v>
      </c>
      <c r="O489" s="362">
        <v>42642</v>
      </c>
      <c r="P489" s="362">
        <v>42642</v>
      </c>
    </row>
    <row r="490" spans="1:16" ht="14.25">
      <c r="A490" s="356">
        <v>2016</v>
      </c>
      <c r="B490" s="357" t="s">
        <v>476</v>
      </c>
      <c r="C490" s="357" t="s">
        <v>477</v>
      </c>
      <c r="D490" s="358">
        <v>1021011</v>
      </c>
      <c r="E490" s="358">
        <v>1</v>
      </c>
      <c r="F490" s="358"/>
      <c r="G490" s="358">
        <v>660</v>
      </c>
      <c r="H490" s="358">
        <v>12</v>
      </c>
      <c r="I490" s="358"/>
      <c r="J490" s="358" t="s">
        <v>172</v>
      </c>
      <c r="K490" s="359" t="b">
        <f t="shared" si="20"/>
        <v>1</v>
      </c>
      <c r="L490" s="359">
        <v>8</v>
      </c>
      <c r="M490" s="360">
        <v>2024</v>
      </c>
      <c r="N490" s="361">
        <v>0</v>
      </c>
      <c r="O490" s="362">
        <v>42642</v>
      </c>
      <c r="P490" s="362">
        <v>42642</v>
      </c>
    </row>
    <row r="491" spans="1:16" ht="14.25">
      <c r="A491" s="356">
        <v>2016</v>
      </c>
      <c r="B491" s="357" t="s">
        <v>476</v>
      </c>
      <c r="C491" s="357" t="s">
        <v>477</v>
      </c>
      <c r="D491" s="358">
        <v>1021011</v>
      </c>
      <c r="E491" s="358">
        <v>1</v>
      </c>
      <c r="F491" s="358"/>
      <c r="G491" s="358">
        <v>660</v>
      </c>
      <c r="H491" s="358">
        <v>12</v>
      </c>
      <c r="I491" s="358"/>
      <c r="J491" s="358" t="s">
        <v>172</v>
      </c>
      <c r="K491" s="359" t="b">
        <f t="shared" si="20"/>
        <v>1</v>
      </c>
      <c r="L491" s="359">
        <v>3</v>
      </c>
      <c r="M491" s="360">
        <v>2019</v>
      </c>
      <c r="N491" s="361">
        <v>0</v>
      </c>
      <c r="O491" s="362">
        <v>42642</v>
      </c>
      <c r="P491" s="362">
        <v>42642</v>
      </c>
    </row>
    <row r="492" spans="1:16" ht="14.25">
      <c r="A492" s="356">
        <v>2016</v>
      </c>
      <c r="B492" s="357" t="s">
        <v>476</v>
      </c>
      <c r="C492" s="357" t="s">
        <v>477</v>
      </c>
      <c r="D492" s="358">
        <v>1021011</v>
      </c>
      <c r="E492" s="358">
        <v>1</v>
      </c>
      <c r="F492" s="358"/>
      <c r="G492" s="358">
        <v>660</v>
      </c>
      <c r="H492" s="358">
        <v>12</v>
      </c>
      <c r="I492" s="358"/>
      <c r="J492" s="358" t="s">
        <v>172</v>
      </c>
      <c r="K492" s="359" t="b">
        <f t="shared" si="20"/>
        <v>1</v>
      </c>
      <c r="L492" s="359">
        <v>5</v>
      </c>
      <c r="M492" s="360">
        <v>2021</v>
      </c>
      <c r="N492" s="361">
        <v>0</v>
      </c>
      <c r="O492" s="362">
        <v>42642</v>
      </c>
      <c r="P492" s="362">
        <v>42642</v>
      </c>
    </row>
    <row r="493" spans="1:16" ht="14.25">
      <c r="A493" s="356">
        <v>2016</v>
      </c>
      <c r="B493" s="357" t="s">
        <v>476</v>
      </c>
      <c r="C493" s="357" t="s">
        <v>477</v>
      </c>
      <c r="D493" s="358">
        <v>1021011</v>
      </c>
      <c r="E493" s="358">
        <v>1</v>
      </c>
      <c r="F493" s="358"/>
      <c r="G493" s="358">
        <v>660</v>
      </c>
      <c r="H493" s="358">
        <v>12</v>
      </c>
      <c r="I493" s="358"/>
      <c r="J493" s="358" t="s">
        <v>172</v>
      </c>
      <c r="K493" s="359" t="b">
        <f t="shared" si="20"/>
        <v>1</v>
      </c>
      <c r="L493" s="359">
        <v>7</v>
      </c>
      <c r="M493" s="360">
        <v>2023</v>
      </c>
      <c r="N493" s="361">
        <v>0</v>
      </c>
      <c r="O493" s="362">
        <v>42642</v>
      </c>
      <c r="P493" s="362">
        <v>42642</v>
      </c>
    </row>
    <row r="494" spans="1:16" ht="14.25">
      <c r="A494" s="356">
        <v>2016</v>
      </c>
      <c r="B494" s="357" t="s">
        <v>476</v>
      </c>
      <c r="C494" s="357" t="s">
        <v>477</v>
      </c>
      <c r="D494" s="358">
        <v>1021011</v>
      </c>
      <c r="E494" s="358">
        <v>1</v>
      </c>
      <c r="F494" s="358"/>
      <c r="G494" s="358">
        <v>660</v>
      </c>
      <c r="H494" s="358">
        <v>12</v>
      </c>
      <c r="I494" s="358"/>
      <c r="J494" s="358" t="s">
        <v>172</v>
      </c>
      <c r="K494" s="359" t="b">
        <f t="shared" si="20"/>
        <v>1</v>
      </c>
      <c r="L494" s="359">
        <v>4</v>
      </c>
      <c r="M494" s="360">
        <v>2020</v>
      </c>
      <c r="N494" s="361">
        <v>0</v>
      </c>
      <c r="O494" s="362">
        <v>42642</v>
      </c>
      <c r="P494" s="362">
        <v>42642</v>
      </c>
    </row>
    <row r="495" spans="1:16" ht="14.25">
      <c r="A495" s="356">
        <v>2016</v>
      </c>
      <c r="B495" s="357" t="s">
        <v>476</v>
      </c>
      <c r="C495" s="357" t="s">
        <v>477</v>
      </c>
      <c r="D495" s="358">
        <v>1021011</v>
      </c>
      <c r="E495" s="358">
        <v>1</v>
      </c>
      <c r="F495" s="358"/>
      <c r="G495" s="358">
        <v>660</v>
      </c>
      <c r="H495" s="358">
        <v>12</v>
      </c>
      <c r="I495" s="358"/>
      <c r="J495" s="358" t="s">
        <v>172</v>
      </c>
      <c r="K495" s="359" t="b">
        <f t="shared" si="20"/>
        <v>1</v>
      </c>
      <c r="L495" s="359">
        <v>1</v>
      </c>
      <c r="M495" s="360">
        <v>2017</v>
      </c>
      <c r="N495" s="361">
        <v>0</v>
      </c>
      <c r="O495" s="362">
        <v>42642</v>
      </c>
      <c r="P495" s="362">
        <v>42642</v>
      </c>
    </row>
    <row r="496" spans="1:16" ht="14.25">
      <c r="A496" s="356">
        <v>2016</v>
      </c>
      <c r="B496" s="357" t="s">
        <v>476</v>
      </c>
      <c r="C496" s="357" t="s">
        <v>477</v>
      </c>
      <c r="D496" s="358">
        <v>1021011</v>
      </c>
      <c r="E496" s="358">
        <v>1</v>
      </c>
      <c r="F496" s="358"/>
      <c r="G496" s="358">
        <v>660</v>
      </c>
      <c r="H496" s="358">
        <v>12</v>
      </c>
      <c r="I496" s="358"/>
      <c r="J496" s="358" t="s">
        <v>172</v>
      </c>
      <c r="K496" s="359" t="b">
        <f t="shared" si="20"/>
        <v>1</v>
      </c>
      <c r="L496" s="359">
        <v>2</v>
      </c>
      <c r="M496" s="360">
        <v>2018</v>
      </c>
      <c r="N496" s="361">
        <v>0</v>
      </c>
      <c r="O496" s="362">
        <v>42642</v>
      </c>
      <c r="P496" s="362">
        <v>42642</v>
      </c>
    </row>
    <row r="497" spans="1:16" ht="14.25">
      <c r="A497" s="356">
        <v>2016</v>
      </c>
      <c r="B497" s="357" t="s">
        <v>476</v>
      </c>
      <c r="C497" s="357" t="s">
        <v>477</v>
      </c>
      <c r="D497" s="358">
        <v>1021011</v>
      </c>
      <c r="E497" s="358">
        <v>1</v>
      </c>
      <c r="F497" s="358"/>
      <c r="G497" s="358">
        <v>660</v>
      </c>
      <c r="H497" s="358">
        <v>12</v>
      </c>
      <c r="I497" s="358"/>
      <c r="J497" s="358" t="s">
        <v>172</v>
      </c>
      <c r="K497" s="359" t="b">
        <f t="shared" si="20"/>
        <v>1</v>
      </c>
      <c r="L497" s="359">
        <v>6</v>
      </c>
      <c r="M497" s="360">
        <v>2022</v>
      </c>
      <c r="N497" s="361">
        <v>0</v>
      </c>
      <c r="O497" s="362">
        <v>42642</v>
      </c>
      <c r="P497" s="362">
        <v>42642</v>
      </c>
    </row>
    <row r="498" spans="1:16" ht="14.25">
      <c r="A498" s="356">
        <v>2016</v>
      </c>
      <c r="B498" s="357" t="s">
        <v>476</v>
      </c>
      <c r="C498" s="357" t="s">
        <v>477</v>
      </c>
      <c r="D498" s="358">
        <v>1021011</v>
      </c>
      <c r="E498" s="358">
        <v>1</v>
      </c>
      <c r="F498" s="358"/>
      <c r="G498" s="358">
        <v>660</v>
      </c>
      <c r="H498" s="358">
        <v>12</v>
      </c>
      <c r="I498" s="358"/>
      <c r="J498" s="358" t="s">
        <v>172</v>
      </c>
      <c r="K498" s="359" t="b">
        <f t="shared" si="20"/>
        <v>1</v>
      </c>
      <c r="L498" s="359">
        <v>0</v>
      </c>
      <c r="M498" s="360">
        <v>2016</v>
      </c>
      <c r="N498" s="361">
        <v>0</v>
      </c>
      <c r="O498" s="362">
        <v>42642</v>
      </c>
      <c r="P498" s="362">
        <v>42642</v>
      </c>
    </row>
    <row r="499" spans="1:16" ht="14.25">
      <c r="A499" s="356">
        <v>2016</v>
      </c>
      <c r="B499" s="357" t="s">
        <v>476</v>
      </c>
      <c r="C499" s="357" t="s">
        <v>477</v>
      </c>
      <c r="D499" s="358">
        <v>1021011</v>
      </c>
      <c r="E499" s="358">
        <v>1</v>
      </c>
      <c r="F499" s="358"/>
      <c r="G499" s="358">
        <v>764</v>
      </c>
      <c r="H499" s="358" t="s">
        <v>211</v>
      </c>
      <c r="I499" s="358"/>
      <c r="J499" s="358" t="s">
        <v>212</v>
      </c>
      <c r="K499" s="359" t="b">
        <f t="shared" si="20"/>
        <v>1</v>
      </c>
      <c r="L499" s="359">
        <v>7</v>
      </c>
      <c r="M499" s="360">
        <v>2023</v>
      </c>
      <c r="N499" s="361">
        <v>0</v>
      </c>
      <c r="O499" s="362">
        <v>42642</v>
      </c>
      <c r="P499" s="362">
        <v>42642</v>
      </c>
    </row>
    <row r="500" spans="1:16" ht="14.25">
      <c r="A500" s="356">
        <v>2016</v>
      </c>
      <c r="B500" s="357" t="s">
        <v>476</v>
      </c>
      <c r="C500" s="357" t="s">
        <v>477</v>
      </c>
      <c r="D500" s="358">
        <v>1021011</v>
      </c>
      <c r="E500" s="358">
        <v>1</v>
      </c>
      <c r="F500" s="358"/>
      <c r="G500" s="358">
        <v>764</v>
      </c>
      <c r="H500" s="358" t="s">
        <v>211</v>
      </c>
      <c r="I500" s="358"/>
      <c r="J500" s="358" t="s">
        <v>212</v>
      </c>
      <c r="K500" s="359" t="b">
        <f t="shared" si="20"/>
        <v>1</v>
      </c>
      <c r="L500" s="359">
        <v>0</v>
      </c>
      <c r="M500" s="360">
        <v>2016</v>
      </c>
      <c r="N500" s="361">
        <v>0</v>
      </c>
      <c r="O500" s="362">
        <v>42642</v>
      </c>
      <c r="P500" s="362">
        <v>42642</v>
      </c>
    </row>
    <row r="501" spans="1:16" ht="14.25">
      <c r="A501" s="356">
        <v>2016</v>
      </c>
      <c r="B501" s="357" t="s">
        <v>476</v>
      </c>
      <c r="C501" s="357" t="s">
        <v>477</v>
      </c>
      <c r="D501" s="358">
        <v>1021011</v>
      </c>
      <c r="E501" s="358">
        <v>1</v>
      </c>
      <c r="F501" s="358"/>
      <c r="G501" s="358">
        <v>764</v>
      </c>
      <c r="H501" s="358" t="s">
        <v>211</v>
      </c>
      <c r="I501" s="358"/>
      <c r="J501" s="358" t="s">
        <v>212</v>
      </c>
      <c r="K501" s="359" t="b">
        <f t="shared" si="20"/>
        <v>1</v>
      </c>
      <c r="L501" s="359">
        <v>8</v>
      </c>
      <c r="M501" s="360">
        <v>2024</v>
      </c>
      <c r="N501" s="361">
        <v>0</v>
      </c>
      <c r="O501" s="362">
        <v>42642</v>
      </c>
      <c r="P501" s="362">
        <v>42642</v>
      </c>
    </row>
    <row r="502" spans="1:16" ht="14.25">
      <c r="A502" s="356">
        <v>2016</v>
      </c>
      <c r="B502" s="357" t="s">
        <v>476</v>
      </c>
      <c r="C502" s="357" t="s">
        <v>477</v>
      </c>
      <c r="D502" s="358">
        <v>1021011</v>
      </c>
      <c r="E502" s="358">
        <v>1</v>
      </c>
      <c r="F502" s="358"/>
      <c r="G502" s="358">
        <v>764</v>
      </c>
      <c r="H502" s="358" t="s">
        <v>211</v>
      </c>
      <c r="I502" s="358"/>
      <c r="J502" s="358" t="s">
        <v>212</v>
      </c>
      <c r="K502" s="359" t="b">
        <f t="shared" si="20"/>
        <v>1</v>
      </c>
      <c r="L502" s="359">
        <v>6</v>
      </c>
      <c r="M502" s="360">
        <v>2022</v>
      </c>
      <c r="N502" s="361">
        <v>0</v>
      </c>
      <c r="O502" s="362">
        <v>42642</v>
      </c>
      <c r="P502" s="362">
        <v>42642</v>
      </c>
    </row>
    <row r="503" spans="1:16" ht="14.25">
      <c r="A503" s="356">
        <v>2016</v>
      </c>
      <c r="B503" s="357" t="s">
        <v>476</v>
      </c>
      <c r="C503" s="357" t="s">
        <v>477</v>
      </c>
      <c r="D503" s="358">
        <v>1021011</v>
      </c>
      <c r="E503" s="358">
        <v>1</v>
      </c>
      <c r="F503" s="358"/>
      <c r="G503" s="358">
        <v>764</v>
      </c>
      <c r="H503" s="358" t="s">
        <v>211</v>
      </c>
      <c r="I503" s="358"/>
      <c r="J503" s="358" t="s">
        <v>212</v>
      </c>
      <c r="K503" s="359" t="b">
        <f t="shared" si="20"/>
        <v>1</v>
      </c>
      <c r="L503" s="359">
        <v>2</v>
      </c>
      <c r="M503" s="360">
        <v>2018</v>
      </c>
      <c r="N503" s="361">
        <v>0</v>
      </c>
      <c r="O503" s="362">
        <v>42642</v>
      </c>
      <c r="P503" s="362">
        <v>42642</v>
      </c>
    </row>
    <row r="504" spans="1:16" ht="14.25">
      <c r="A504" s="356">
        <v>2016</v>
      </c>
      <c r="B504" s="357" t="s">
        <v>476</v>
      </c>
      <c r="C504" s="357" t="s">
        <v>477</v>
      </c>
      <c r="D504" s="358">
        <v>1021011</v>
      </c>
      <c r="E504" s="358">
        <v>1</v>
      </c>
      <c r="F504" s="358"/>
      <c r="G504" s="358">
        <v>764</v>
      </c>
      <c r="H504" s="358" t="s">
        <v>211</v>
      </c>
      <c r="I504" s="358"/>
      <c r="J504" s="358" t="s">
        <v>212</v>
      </c>
      <c r="K504" s="359" t="b">
        <f t="shared" si="20"/>
        <v>1</v>
      </c>
      <c r="L504" s="359">
        <v>1</v>
      </c>
      <c r="M504" s="360">
        <v>2017</v>
      </c>
      <c r="N504" s="361">
        <v>0</v>
      </c>
      <c r="O504" s="362">
        <v>42642</v>
      </c>
      <c r="P504" s="362">
        <v>42642</v>
      </c>
    </row>
    <row r="505" spans="1:16" ht="14.25">
      <c r="A505" s="356">
        <v>2016</v>
      </c>
      <c r="B505" s="357" t="s">
        <v>476</v>
      </c>
      <c r="C505" s="357" t="s">
        <v>477</v>
      </c>
      <c r="D505" s="358">
        <v>1021011</v>
      </c>
      <c r="E505" s="358">
        <v>1</v>
      </c>
      <c r="F505" s="358"/>
      <c r="G505" s="358">
        <v>764</v>
      </c>
      <c r="H505" s="358" t="s">
        <v>211</v>
      </c>
      <c r="I505" s="358"/>
      <c r="J505" s="358" t="s">
        <v>212</v>
      </c>
      <c r="K505" s="359" t="b">
        <f t="shared" si="20"/>
        <v>1</v>
      </c>
      <c r="L505" s="359">
        <v>3</v>
      </c>
      <c r="M505" s="360">
        <v>2019</v>
      </c>
      <c r="N505" s="361">
        <v>0</v>
      </c>
      <c r="O505" s="362">
        <v>42642</v>
      </c>
      <c r="P505" s="362">
        <v>42642</v>
      </c>
    </row>
    <row r="506" spans="1:16" ht="14.25">
      <c r="A506" s="356">
        <v>2016</v>
      </c>
      <c r="B506" s="357" t="s">
        <v>476</v>
      </c>
      <c r="C506" s="357" t="s">
        <v>477</v>
      </c>
      <c r="D506" s="358">
        <v>1021011</v>
      </c>
      <c r="E506" s="358">
        <v>1</v>
      </c>
      <c r="F506" s="358"/>
      <c r="G506" s="358">
        <v>764</v>
      </c>
      <c r="H506" s="358" t="s">
        <v>211</v>
      </c>
      <c r="I506" s="358"/>
      <c r="J506" s="358" t="s">
        <v>212</v>
      </c>
      <c r="K506" s="359" t="b">
        <f t="shared" si="20"/>
        <v>1</v>
      </c>
      <c r="L506" s="359">
        <v>5</v>
      </c>
      <c r="M506" s="360">
        <v>2021</v>
      </c>
      <c r="N506" s="361">
        <v>0</v>
      </c>
      <c r="O506" s="362">
        <v>42642</v>
      </c>
      <c r="P506" s="362">
        <v>42642</v>
      </c>
    </row>
    <row r="507" spans="1:16" ht="14.25">
      <c r="A507" s="356">
        <v>2016</v>
      </c>
      <c r="B507" s="357" t="s">
        <v>476</v>
      </c>
      <c r="C507" s="357" t="s">
        <v>477</v>
      </c>
      <c r="D507" s="358">
        <v>1021011</v>
      </c>
      <c r="E507" s="358">
        <v>1</v>
      </c>
      <c r="F507" s="358"/>
      <c r="G507" s="358">
        <v>764</v>
      </c>
      <c r="H507" s="358" t="s">
        <v>211</v>
      </c>
      <c r="I507" s="358"/>
      <c r="J507" s="358" t="s">
        <v>212</v>
      </c>
      <c r="K507" s="359" t="b">
        <f t="shared" si="20"/>
        <v>1</v>
      </c>
      <c r="L507" s="359">
        <v>4</v>
      </c>
      <c r="M507" s="360">
        <v>2020</v>
      </c>
      <c r="N507" s="361">
        <v>0</v>
      </c>
      <c r="O507" s="362">
        <v>42642</v>
      </c>
      <c r="P507" s="362">
        <v>42642</v>
      </c>
    </row>
    <row r="508" spans="1:16" ht="14.25">
      <c r="A508" s="356">
        <v>2016</v>
      </c>
      <c r="B508" s="357" t="s">
        <v>476</v>
      </c>
      <c r="C508" s="357" t="s">
        <v>477</v>
      </c>
      <c r="D508" s="358">
        <v>1021011</v>
      </c>
      <c r="E508" s="358">
        <v>1</v>
      </c>
      <c r="F508" s="358"/>
      <c r="G508" s="358">
        <v>768</v>
      </c>
      <c r="H508" s="358" t="s">
        <v>221</v>
      </c>
      <c r="I508" s="358"/>
      <c r="J508" s="358" t="s">
        <v>212</v>
      </c>
      <c r="K508" s="359" t="b">
        <f t="shared" si="20"/>
        <v>1</v>
      </c>
      <c r="L508" s="359">
        <v>0</v>
      </c>
      <c r="M508" s="360">
        <v>2016</v>
      </c>
      <c r="N508" s="361">
        <v>0</v>
      </c>
      <c r="O508" s="362">
        <v>42642</v>
      </c>
      <c r="P508" s="362">
        <v>42642</v>
      </c>
    </row>
    <row r="509" spans="1:16" ht="14.25">
      <c r="A509" s="356">
        <v>2016</v>
      </c>
      <c r="B509" s="357" t="s">
        <v>476</v>
      </c>
      <c r="C509" s="357" t="s">
        <v>477</v>
      </c>
      <c r="D509" s="358">
        <v>1021011</v>
      </c>
      <c r="E509" s="358">
        <v>1</v>
      </c>
      <c r="F509" s="358"/>
      <c r="G509" s="358">
        <v>768</v>
      </c>
      <c r="H509" s="358" t="s">
        <v>221</v>
      </c>
      <c r="I509" s="358"/>
      <c r="J509" s="358" t="s">
        <v>212</v>
      </c>
      <c r="K509" s="359" t="b">
        <f t="shared" si="20"/>
        <v>1</v>
      </c>
      <c r="L509" s="359">
        <v>6</v>
      </c>
      <c r="M509" s="360">
        <v>2022</v>
      </c>
      <c r="N509" s="361">
        <v>0</v>
      </c>
      <c r="O509" s="362">
        <v>42642</v>
      </c>
      <c r="P509" s="362">
        <v>42642</v>
      </c>
    </row>
    <row r="510" spans="1:16" ht="14.25">
      <c r="A510" s="356">
        <v>2016</v>
      </c>
      <c r="B510" s="357" t="s">
        <v>476</v>
      </c>
      <c r="C510" s="357" t="s">
        <v>477</v>
      </c>
      <c r="D510" s="358">
        <v>1021011</v>
      </c>
      <c r="E510" s="358">
        <v>1</v>
      </c>
      <c r="F510" s="358"/>
      <c r="G510" s="358">
        <v>768</v>
      </c>
      <c r="H510" s="358" t="s">
        <v>221</v>
      </c>
      <c r="I510" s="358"/>
      <c r="J510" s="358" t="s">
        <v>212</v>
      </c>
      <c r="K510" s="359" t="b">
        <f t="shared" si="20"/>
        <v>1</v>
      </c>
      <c r="L510" s="359">
        <v>7</v>
      </c>
      <c r="M510" s="360">
        <v>2023</v>
      </c>
      <c r="N510" s="361">
        <v>0</v>
      </c>
      <c r="O510" s="362">
        <v>42642</v>
      </c>
      <c r="P510" s="362">
        <v>42642</v>
      </c>
    </row>
    <row r="511" spans="1:16" ht="14.25">
      <c r="A511" s="356">
        <v>2016</v>
      </c>
      <c r="B511" s="357" t="s">
        <v>476</v>
      </c>
      <c r="C511" s="357" t="s">
        <v>477</v>
      </c>
      <c r="D511" s="358">
        <v>1021011</v>
      </c>
      <c r="E511" s="358">
        <v>1</v>
      </c>
      <c r="F511" s="358"/>
      <c r="G511" s="358">
        <v>768</v>
      </c>
      <c r="H511" s="358" t="s">
        <v>221</v>
      </c>
      <c r="I511" s="358"/>
      <c r="J511" s="358" t="s">
        <v>212</v>
      </c>
      <c r="K511" s="359" t="b">
        <f t="shared" si="20"/>
        <v>1</v>
      </c>
      <c r="L511" s="359">
        <v>1</v>
      </c>
      <c r="M511" s="360">
        <v>2017</v>
      </c>
      <c r="N511" s="361">
        <v>0</v>
      </c>
      <c r="O511" s="362">
        <v>42642</v>
      </c>
      <c r="P511" s="362">
        <v>42642</v>
      </c>
    </row>
    <row r="512" spans="1:16" ht="14.25">
      <c r="A512" s="356">
        <v>2016</v>
      </c>
      <c r="B512" s="357" t="s">
        <v>476</v>
      </c>
      <c r="C512" s="357" t="s">
        <v>477</v>
      </c>
      <c r="D512" s="358">
        <v>1021011</v>
      </c>
      <c r="E512" s="358">
        <v>1</v>
      </c>
      <c r="F512" s="358"/>
      <c r="G512" s="358">
        <v>768</v>
      </c>
      <c r="H512" s="358" t="s">
        <v>221</v>
      </c>
      <c r="I512" s="358"/>
      <c r="J512" s="358" t="s">
        <v>212</v>
      </c>
      <c r="K512" s="359" t="b">
        <f t="shared" si="20"/>
        <v>1</v>
      </c>
      <c r="L512" s="359">
        <v>2</v>
      </c>
      <c r="M512" s="360">
        <v>2018</v>
      </c>
      <c r="N512" s="361">
        <v>0</v>
      </c>
      <c r="O512" s="362">
        <v>42642</v>
      </c>
      <c r="P512" s="362">
        <v>42642</v>
      </c>
    </row>
    <row r="513" spans="1:16" ht="14.25">
      <c r="A513" s="356">
        <v>2016</v>
      </c>
      <c r="B513" s="357" t="s">
        <v>476</v>
      </c>
      <c r="C513" s="357" t="s">
        <v>477</v>
      </c>
      <c r="D513" s="358">
        <v>1021011</v>
      </c>
      <c r="E513" s="358">
        <v>1</v>
      </c>
      <c r="F513" s="358"/>
      <c r="G513" s="358">
        <v>768</v>
      </c>
      <c r="H513" s="358" t="s">
        <v>221</v>
      </c>
      <c r="I513" s="358"/>
      <c r="J513" s="358" t="s">
        <v>212</v>
      </c>
      <c r="K513" s="359" t="b">
        <f t="shared" si="20"/>
        <v>1</v>
      </c>
      <c r="L513" s="359">
        <v>3</v>
      </c>
      <c r="M513" s="360">
        <v>2019</v>
      </c>
      <c r="N513" s="361">
        <v>0</v>
      </c>
      <c r="O513" s="362">
        <v>42642</v>
      </c>
      <c r="P513" s="362">
        <v>42642</v>
      </c>
    </row>
    <row r="514" spans="1:16" ht="14.25">
      <c r="A514" s="356">
        <v>2016</v>
      </c>
      <c r="B514" s="357" t="s">
        <v>476</v>
      </c>
      <c r="C514" s="357" t="s">
        <v>477</v>
      </c>
      <c r="D514" s="358">
        <v>1021011</v>
      </c>
      <c r="E514" s="358">
        <v>1</v>
      </c>
      <c r="F514" s="358"/>
      <c r="G514" s="358">
        <v>768</v>
      </c>
      <c r="H514" s="358" t="s">
        <v>221</v>
      </c>
      <c r="I514" s="358"/>
      <c r="J514" s="358" t="s">
        <v>212</v>
      </c>
      <c r="K514" s="359" t="b">
        <f t="shared" si="20"/>
        <v>1</v>
      </c>
      <c r="L514" s="359">
        <v>8</v>
      </c>
      <c r="M514" s="360">
        <v>2024</v>
      </c>
      <c r="N514" s="361">
        <v>0</v>
      </c>
      <c r="O514" s="362">
        <v>42642</v>
      </c>
      <c r="P514" s="362">
        <v>42642</v>
      </c>
    </row>
    <row r="515" spans="1:16" ht="14.25">
      <c r="A515" s="356">
        <v>2016</v>
      </c>
      <c r="B515" s="357" t="s">
        <v>476</v>
      </c>
      <c r="C515" s="357" t="s">
        <v>477</v>
      </c>
      <c r="D515" s="358">
        <v>1021011</v>
      </c>
      <c r="E515" s="358">
        <v>1</v>
      </c>
      <c r="F515" s="358"/>
      <c r="G515" s="358">
        <v>768</v>
      </c>
      <c r="H515" s="358" t="s">
        <v>221</v>
      </c>
      <c r="I515" s="358"/>
      <c r="J515" s="358" t="s">
        <v>212</v>
      </c>
      <c r="K515" s="359" t="b">
        <f t="shared" si="20"/>
        <v>1</v>
      </c>
      <c r="L515" s="359">
        <v>4</v>
      </c>
      <c r="M515" s="360">
        <v>2020</v>
      </c>
      <c r="N515" s="361">
        <v>0</v>
      </c>
      <c r="O515" s="362">
        <v>42642</v>
      </c>
      <c r="P515" s="362">
        <v>42642</v>
      </c>
    </row>
    <row r="516" spans="1:16" ht="14.25">
      <c r="A516" s="356">
        <v>2016</v>
      </c>
      <c r="B516" s="357" t="s">
        <v>476</v>
      </c>
      <c r="C516" s="357" t="s">
        <v>477</v>
      </c>
      <c r="D516" s="358">
        <v>1021011</v>
      </c>
      <c r="E516" s="358">
        <v>1</v>
      </c>
      <c r="F516" s="358"/>
      <c r="G516" s="358">
        <v>768</v>
      </c>
      <c r="H516" s="358" t="s">
        <v>221</v>
      </c>
      <c r="I516" s="358"/>
      <c r="J516" s="358" t="s">
        <v>212</v>
      </c>
      <c r="K516" s="359" t="b">
        <f t="shared" si="20"/>
        <v>1</v>
      </c>
      <c r="L516" s="359">
        <v>5</v>
      </c>
      <c r="M516" s="360">
        <v>2021</v>
      </c>
      <c r="N516" s="361">
        <v>0</v>
      </c>
      <c r="O516" s="362">
        <v>42642</v>
      </c>
      <c r="P516" s="362">
        <v>42642</v>
      </c>
    </row>
    <row r="517" spans="1:16" ht="14.25">
      <c r="A517" s="356">
        <v>2016</v>
      </c>
      <c r="B517" s="357" t="s">
        <v>476</v>
      </c>
      <c r="C517" s="357" t="s">
        <v>477</v>
      </c>
      <c r="D517" s="358">
        <v>1021011</v>
      </c>
      <c r="E517" s="358">
        <v>1</v>
      </c>
      <c r="F517" s="358"/>
      <c r="G517" s="358">
        <v>740</v>
      </c>
      <c r="H517" s="358" t="s">
        <v>193</v>
      </c>
      <c r="I517" s="358"/>
      <c r="J517" s="358" t="s">
        <v>194</v>
      </c>
      <c r="K517" s="359" t="b">
        <f aca="true" t="shared" si="21" ref="K517:K561">FALSE</f>
        <v>0</v>
      </c>
      <c r="L517" s="359">
        <v>3</v>
      </c>
      <c r="M517" s="360">
        <v>2019</v>
      </c>
      <c r="N517" s="361">
        <v>0</v>
      </c>
      <c r="O517" s="362">
        <v>42642</v>
      </c>
      <c r="P517" s="362">
        <v>42642</v>
      </c>
    </row>
    <row r="518" spans="1:16" ht="14.25">
      <c r="A518" s="356">
        <v>2016</v>
      </c>
      <c r="B518" s="357" t="s">
        <v>476</v>
      </c>
      <c r="C518" s="357" t="s">
        <v>477</v>
      </c>
      <c r="D518" s="358">
        <v>1021011</v>
      </c>
      <c r="E518" s="358">
        <v>1</v>
      </c>
      <c r="F518" s="358"/>
      <c r="G518" s="358">
        <v>740</v>
      </c>
      <c r="H518" s="358" t="s">
        <v>193</v>
      </c>
      <c r="I518" s="358"/>
      <c r="J518" s="358" t="s">
        <v>194</v>
      </c>
      <c r="K518" s="359" t="b">
        <f t="shared" si="21"/>
        <v>0</v>
      </c>
      <c r="L518" s="359">
        <v>1</v>
      </c>
      <c r="M518" s="360">
        <v>2017</v>
      </c>
      <c r="N518" s="361">
        <v>0</v>
      </c>
      <c r="O518" s="362">
        <v>42642</v>
      </c>
      <c r="P518" s="362">
        <v>42642</v>
      </c>
    </row>
    <row r="519" spans="1:16" ht="14.25">
      <c r="A519" s="356">
        <v>2016</v>
      </c>
      <c r="B519" s="357" t="s">
        <v>476</v>
      </c>
      <c r="C519" s="357" t="s">
        <v>477</v>
      </c>
      <c r="D519" s="358">
        <v>1021011</v>
      </c>
      <c r="E519" s="358">
        <v>1</v>
      </c>
      <c r="F519" s="358"/>
      <c r="G519" s="358">
        <v>740</v>
      </c>
      <c r="H519" s="358" t="s">
        <v>193</v>
      </c>
      <c r="I519" s="358"/>
      <c r="J519" s="358" t="s">
        <v>194</v>
      </c>
      <c r="K519" s="359" t="b">
        <f t="shared" si="21"/>
        <v>0</v>
      </c>
      <c r="L519" s="359">
        <v>6</v>
      </c>
      <c r="M519" s="360">
        <v>2022</v>
      </c>
      <c r="N519" s="361">
        <v>0</v>
      </c>
      <c r="O519" s="362">
        <v>42642</v>
      </c>
      <c r="P519" s="362">
        <v>42642</v>
      </c>
    </row>
    <row r="520" spans="1:16" ht="14.25">
      <c r="A520" s="356">
        <v>2016</v>
      </c>
      <c r="B520" s="357" t="s">
        <v>476</v>
      </c>
      <c r="C520" s="357" t="s">
        <v>477</v>
      </c>
      <c r="D520" s="358">
        <v>1021011</v>
      </c>
      <c r="E520" s="358">
        <v>1</v>
      </c>
      <c r="F520" s="358"/>
      <c r="G520" s="358">
        <v>740</v>
      </c>
      <c r="H520" s="358" t="s">
        <v>193</v>
      </c>
      <c r="I520" s="358"/>
      <c r="J520" s="358" t="s">
        <v>194</v>
      </c>
      <c r="K520" s="359" t="b">
        <f t="shared" si="21"/>
        <v>0</v>
      </c>
      <c r="L520" s="359">
        <v>0</v>
      </c>
      <c r="M520" s="360">
        <v>2016</v>
      </c>
      <c r="N520" s="361">
        <v>8771.01</v>
      </c>
      <c r="O520" s="362">
        <v>42642</v>
      </c>
      <c r="P520" s="362">
        <v>42642</v>
      </c>
    </row>
    <row r="521" spans="1:16" ht="14.25">
      <c r="A521" s="356">
        <v>2016</v>
      </c>
      <c r="B521" s="357" t="s">
        <v>476</v>
      </c>
      <c r="C521" s="357" t="s">
        <v>477</v>
      </c>
      <c r="D521" s="358">
        <v>1021011</v>
      </c>
      <c r="E521" s="358">
        <v>1</v>
      </c>
      <c r="F521" s="358"/>
      <c r="G521" s="358">
        <v>740</v>
      </c>
      <c r="H521" s="358" t="s">
        <v>193</v>
      </c>
      <c r="I521" s="358"/>
      <c r="J521" s="358" t="s">
        <v>194</v>
      </c>
      <c r="K521" s="359" t="b">
        <f t="shared" si="21"/>
        <v>0</v>
      </c>
      <c r="L521" s="359">
        <v>4</v>
      </c>
      <c r="M521" s="360">
        <v>2020</v>
      </c>
      <c r="N521" s="361">
        <v>0</v>
      </c>
      <c r="O521" s="362">
        <v>42642</v>
      </c>
      <c r="P521" s="362">
        <v>42642</v>
      </c>
    </row>
    <row r="522" spans="1:16" ht="14.25">
      <c r="A522" s="356">
        <v>2016</v>
      </c>
      <c r="B522" s="357" t="s">
        <v>476</v>
      </c>
      <c r="C522" s="357" t="s">
        <v>477</v>
      </c>
      <c r="D522" s="358">
        <v>1021011</v>
      </c>
      <c r="E522" s="358">
        <v>1</v>
      </c>
      <c r="F522" s="358"/>
      <c r="G522" s="358">
        <v>740</v>
      </c>
      <c r="H522" s="358" t="s">
        <v>193</v>
      </c>
      <c r="I522" s="358"/>
      <c r="J522" s="358" t="s">
        <v>194</v>
      </c>
      <c r="K522" s="359" t="b">
        <f t="shared" si="21"/>
        <v>0</v>
      </c>
      <c r="L522" s="359">
        <v>7</v>
      </c>
      <c r="M522" s="360">
        <v>2023</v>
      </c>
      <c r="N522" s="361">
        <v>0</v>
      </c>
      <c r="O522" s="362">
        <v>42642</v>
      </c>
      <c r="P522" s="362">
        <v>42642</v>
      </c>
    </row>
    <row r="523" spans="1:16" ht="14.25">
      <c r="A523" s="356">
        <v>2016</v>
      </c>
      <c r="B523" s="357" t="s">
        <v>476</v>
      </c>
      <c r="C523" s="357" t="s">
        <v>477</v>
      </c>
      <c r="D523" s="358">
        <v>1021011</v>
      </c>
      <c r="E523" s="358">
        <v>1</v>
      </c>
      <c r="F523" s="358"/>
      <c r="G523" s="358">
        <v>740</v>
      </c>
      <c r="H523" s="358" t="s">
        <v>193</v>
      </c>
      <c r="I523" s="358"/>
      <c r="J523" s="358" t="s">
        <v>194</v>
      </c>
      <c r="K523" s="359" t="b">
        <f t="shared" si="21"/>
        <v>0</v>
      </c>
      <c r="L523" s="359">
        <v>8</v>
      </c>
      <c r="M523" s="360">
        <v>2024</v>
      </c>
      <c r="N523" s="361">
        <v>0</v>
      </c>
      <c r="O523" s="362">
        <v>42642</v>
      </c>
      <c r="P523" s="362">
        <v>42642</v>
      </c>
    </row>
    <row r="524" spans="1:16" ht="14.25">
      <c r="A524" s="356">
        <v>2016</v>
      </c>
      <c r="B524" s="357" t="s">
        <v>476</v>
      </c>
      <c r="C524" s="357" t="s">
        <v>477</v>
      </c>
      <c r="D524" s="358">
        <v>1021011</v>
      </c>
      <c r="E524" s="358">
        <v>1</v>
      </c>
      <c r="F524" s="358"/>
      <c r="G524" s="358">
        <v>740</v>
      </c>
      <c r="H524" s="358" t="s">
        <v>193</v>
      </c>
      <c r="I524" s="358"/>
      <c r="J524" s="358" t="s">
        <v>194</v>
      </c>
      <c r="K524" s="359" t="b">
        <f t="shared" si="21"/>
        <v>0</v>
      </c>
      <c r="L524" s="359">
        <v>5</v>
      </c>
      <c r="M524" s="360">
        <v>2021</v>
      </c>
      <c r="N524" s="361">
        <v>0</v>
      </c>
      <c r="O524" s="362">
        <v>42642</v>
      </c>
      <c r="P524" s="362">
        <v>42642</v>
      </c>
    </row>
    <row r="525" spans="1:16" ht="14.25">
      <c r="A525" s="356">
        <v>2016</v>
      </c>
      <c r="B525" s="357" t="s">
        <v>476</v>
      </c>
      <c r="C525" s="357" t="s">
        <v>477</v>
      </c>
      <c r="D525" s="358">
        <v>1021011</v>
      </c>
      <c r="E525" s="358">
        <v>1</v>
      </c>
      <c r="F525" s="358"/>
      <c r="G525" s="358">
        <v>740</v>
      </c>
      <c r="H525" s="358" t="s">
        <v>193</v>
      </c>
      <c r="I525" s="358"/>
      <c r="J525" s="358" t="s">
        <v>194</v>
      </c>
      <c r="K525" s="359" t="b">
        <f t="shared" si="21"/>
        <v>0</v>
      </c>
      <c r="L525" s="359">
        <v>2</v>
      </c>
      <c r="M525" s="360">
        <v>2018</v>
      </c>
      <c r="N525" s="361">
        <v>0</v>
      </c>
      <c r="O525" s="362">
        <v>42642</v>
      </c>
      <c r="P525" s="362">
        <v>42642</v>
      </c>
    </row>
    <row r="526" spans="1:16" ht="14.25">
      <c r="A526" s="356">
        <v>2016</v>
      </c>
      <c r="B526" s="357" t="s">
        <v>476</v>
      </c>
      <c r="C526" s="357" t="s">
        <v>477</v>
      </c>
      <c r="D526" s="358">
        <v>1021011</v>
      </c>
      <c r="E526" s="358">
        <v>1</v>
      </c>
      <c r="F526" s="358"/>
      <c r="G526" s="358">
        <v>710</v>
      </c>
      <c r="H526" s="358" t="s">
        <v>185</v>
      </c>
      <c r="I526" s="358"/>
      <c r="J526" s="358" t="s">
        <v>186</v>
      </c>
      <c r="K526" s="359" t="b">
        <f t="shared" si="21"/>
        <v>0</v>
      </c>
      <c r="L526" s="359">
        <v>2</v>
      </c>
      <c r="M526" s="360">
        <v>2018</v>
      </c>
      <c r="N526" s="361">
        <v>0</v>
      </c>
      <c r="O526" s="362">
        <v>42642</v>
      </c>
      <c r="P526" s="362">
        <v>42642</v>
      </c>
    </row>
    <row r="527" spans="1:16" ht="14.25">
      <c r="A527" s="356">
        <v>2016</v>
      </c>
      <c r="B527" s="357" t="s">
        <v>476</v>
      </c>
      <c r="C527" s="357" t="s">
        <v>477</v>
      </c>
      <c r="D527" s="358">
        <v>1021011</v>
      </c>
      <c r="E527" s="358">
        <v>1</v>
      </c>
      <c r="F527" s="358"/>
      <c r="G527" s="358">
        <v>710</v>
      </c>
      <c r="H527" s="358" t="s">
        <v>185</v>
      </c>
      <c r="I527" s="358"/>
      <c r="J527" s="358" t="s">
        <v>186</v>
      </c>
      <c r="K527" s="359" t="b">
        <f t="shared" si="21"/>
        <v>0</v>
      </c>
      <c r="L527" s="359">
        <v>1</v>
      </c>
      <c r="M527" s="360">
        <v>2017</v>
      </c>
      <c r="N527" s="361">
        <v>0</v>
      </c>
      <c r="O527" s="362">
        <v>42642</v>
      </c>
      <c r="P527" s="362">
        <v>42642</v>
      </c>
    </row>
    <row r="528" spans="1:16" ht="14.25">
      <c r="A528" s="356">
        <v>2016</v>
      </c>
      <c r="B528" s="357" t="s">
        <v>476</v>
      </c>
      <c r="C528" s="357" t="s">
        <v>477</v>
      </c>
      <c r="D528" s="358">
        <v>1021011</v>
      </c>
      <c r="E528" s="358">
        <v>1</v>
      </c>
      <c r="F528" s="358"/>
      <c r="G528" s="358">
        <v>710</v>
      </c>
      <c r="H528" s="358" t="s">
        <v>185</v>
      </c>
      <c r="I528" s="358"/>
      <c r="J528" s="358" t="s">
        <v>186</v>
      </c>
      <c r="K528" s="359" t="b">
        <f t="shared" si="21"/>
        <v>0</v>
      </c>
      <c r="L528" s="359">
        <v>7</v>
      </c>
      <c r="M528" s="360">
        <v>2023</v>
      </c>
      <c r="N528" s="361">
        <v>0</v>
      </c>
      <c r="O528" s="362">
        <v>42642</v>
      </c>
      <c r="P528" s="362">
        <v>42642</v>
      </c>
    </row>
    <row r="529" spans="1:16" ht="14.25">
      <c r="A529" s="356">
        <v>2016</v>
      </c>
      <c r="B529" s="357" t="s">
        <v>476</v>
      </c>
      <c r="C529" s="357" t="s">
        <v>477</v>
      </c>
      <c r="D529" s="358">
        <v>1021011</v>
      </c>
      <c r="E529" s="358">
        <v>1</v>
      </c>
      <c r="F529" s="358"/>
      <c r="G529" s="358">
        <v>710</v>
      </c>
      <c r="H529" s="358" t="s">
        <v>185</v>
      </c>
      <c r="I529" s="358"/>
      <c r="J529" s="358" t="s">
        <v>186</v>
      </c>
      <c r="K529" s="359" t="b">
        <f t="shared" si="21"/>
        <v>0</v>
      </c>
      <c r="L529" s="359">
        <v>6</v>
      </c>
      <c r="M529" s="360">
        <v>2022</v>
      </c>
      <c r="N529" s="361">
        <v>0</v>
      </c>
      <c r="O529" s="362">
        <v>42642</v>
      </c>
      <c r="P529" s="362">
        <v>42642</v>
      </c>
    </row>
    <row r="530" spans="1:16" ht="14.25">
      <c r="A530" s="356">
        <v>2016</v>
      </c>
      <c r="B530" s="357" t="s">
        <v>476</v>
      </c>
      <c r="C530" s="357" t="s">
        <v>477</v>
      </c>
      <c r="D530" s="358">
        <v>1021011</v>
      </c>
      <c r="E530" s="358">
        <v>1</v>
      </c>
      <c r="F530" s="358"/>
      <c r="G530" s="358">
        <v>710</v>
      </c>
      <c r="H530" s="358" t="s">
        <v>185</v>
      </c>
      <c r="I530" s="358"/>
      <c r="J530" s="358" t="s">
        <v>186</v>
      </c>
      <c r="K530" s="359" t="b">
        <f t="shared" si="21"/>
        <v>0</v>
      </c>
      <c r="L530" s="359">
        <v>3</v>
      </c>
      <c r="M530" s="360">
        <v>2019</v>
      </c>
      <c r="N530" s="361">
        <v>0</v>
      </c>
      <c r="O530" s="362">
        <v>42642</v>
      </c>
      <c r="P530" s="362">
        <v>42642</v>
      </c>
    </row>
    <row r="531" spans="1:16" ht="14.25">
      <c r="A531" s="356">
        <v>2016</v>
      </c>
      <c r="B531" s="357" t="s">
        <v>476</v>
      </c>
      <c r="C531" s="357" t="s">
        <v>477</v>
      </c>
      <c r="D531" s="358">
        <v>1021011</v>
      </c>
      <c r="E531" s="358">
        <v>1</v>
      </c>
      <c r="F531" s="358"/>
      <c r="G531" s="358">
        <v>710</v>
      </c>
      <c r="H531" s="358" t="s">
        <v>185</v>
      </c>
      <c r="I531" s="358"/>
      <c r="J531" s="358" t="s">
        <v>186</v>
      </c>
      <c r="K531" s="359" t="b">
        <f t="shared" si="21"/>
        <v>0</v>
      </c>
      <c r="L531" s="359">
        <v>5</v>
      </c>
      <c r="M531" s="360">
        <v>2021</v>
      </c>
      <c r="N531" s="361">
        <v>0</v>
      </c>
      <c r="O531" s="362">
        <v>42642</v>
      </c>
      <c r="P531" s="362">
        <v>42642</v>
      </c>
    </row>
    <row r="532" spans="1:16" ht="14.25">
      <c r="A532" s="356">
        <v>2016</v>
      </c>
      <c r="B532" s="357" t="s">
        <v>476</v>
      </c>
      <c r="C532" s="357" t="s">
        <v>477</v>
      </c>
      <c r="D532" s="358">
        <v>1021011</v>
      </c>
      <c r="E532" s="358">
        <v>1</v>
      </c>
      <c r="F532" s="358"/>
      <c r="G532" s="358">
        <v>710</v>
      </c>
      <c r="H532" s="358" t="s">
        <v>185</v>
      </c>
      <c r="I532" s="358"/>
      <c r="J532" s="358" t="s">
        <v>186</v>
      </c>
      <c r="K532" s="359" t="b">
        <f t="shared" si="21"/>
        <v>0</v>
      </c>
      <c r="L532" s="359">
        <v>8</v>
      </c>
      <c r="M532" s="360">
        <v>2024</v>
      </c>
      <c r="N532" s="361">
        <v>0</v>
      </c>
      <c r="O532" s="362">
        <v>42642</v>
      </c>
      <c r="P532" s="362">
        <v>42642</v>
      </c>
    </row>
    <row r="533" spans="1:16" ht="14.25">
      <c r="A533" s="356">
        <v>2016</v>
      </c>
      <c r="B533" s="357" t="s">
        <v>476</v>
      </c>
      <c r="C533" s="357" t="s">
        <v>477</v>
      </c>
      <c r="D533" s="358">
        <v>1021011</v>
      </c>
      <c r="E533" s="358">
        <v>1</v>
      </c>
      <c r="F533" s="358"/>
      <c r="G533" s="358">
        <v>710</v>
      </c>
      <c r="H533" s="358" t="s">
        <v>185</v>
      </c>
      <c r="I533" s="358"/>
      <c r="J533" s="358" t="s">
        <v>186</v>
      </c>
      <c r="K533" s="359" t="b">
        <f t="shared" si="21"/>
        <v>0</v>
      </c>
      <c r="L533" s="359">
        <v>4</v>
      </c>
      <c r="M533" s="360">
        <v>2020</v>
      </c>
      <c r="N533" s="361">
        <v>0</v>
      </c>
      <c r="O533" s="362">
        <v>42642</v>
      </c>
      <c r="P533" s="362">
        <v>42642</v>
      </c>
    </row>
    <row r="534" spans="1:16" ht="14.25">
      <c r="A534" s="356">
        <v>2016</v>
      </c>
      <c r="B534" s="357" t="s">
        <v>476</v>
      </c>
      <c r="C534" s="357" t="s">
        <v>477</v>
      </c>
      <c r="D534" s="358">
        <v>1021011</v>
      </c>
      <c r="E534" s="358">
        <v>1</v>
      </c>
      <c r="F534" s="358"/>
      <c r="G534" s="358">
        <v>710</v>
      </c>
      <c r="H534" s="358" t="s">
        <v>185</v>
      </c>
      <c r="I534" s="358"/>
      <c r="J534" s="358" t="s">
        <v>186</v>
      </c>
      <c r="K534" s="359" t="b">
        <f t="shared" si="21"/>
        <v>0</v>
      </c>
      <c r="L534" s="359">
        <v>0</v>
      </c>
      <c r="M534" s="360">
        <v>2016</v>
      </c>
      <c r="N534" s="361">
        <v>691664.53</v>
      </c>
      <c r="O534" s="362">
        <v>42642</v>
      </c>
      <c r="P534" s="362">
        <v>42642</v>
      </c>
    </row>
    <row r="535" spans="1:16" ht="14.25">
      <c r="A535" s="356">
        <v>2016</v>
      </c>
      <c r="B535" s="357" t="s">
        <v>476</v>
      </c>
      <c r="C535" s="357" t="s">
        <v>477</v>
      </c>
      <c r="D535" s="358">
        <v>1021011</v>
      </c>
      <c r="E535" s="358">
        <v>1</v>
      </c>
      <c r="F535" s="358"/>
      <c r="G535" s="358">
        <v>180</v>
      </c>
      <c r="H535" s="358" t="s">
        <v>56</v>
      </c>
      <c r="I535" s="358"/>
      <c r="J535" s="358" t="s">
        <v>57</v>
      </c>
      <c r="K535" s="359" t="b">
        <f t="shared" si="21"/>
        <v>0</v>
      </c>
      <c r="L535" s="359">
        <v>8</v>
      </c>
      <c r="M535" s="360">
        <v>2024</v>
      </c>
      <c r="N535" s="361">
        <v>40000</v>
      </c>
      <c r="O535" s="362">
        <v>42642</v>
      </c>
      <c r="P535" s="362">
        <v>42642</v>
      </c>
    </row>
    <row r="536" spans="1:16" ht="14.25">
      <c r="A536" s="356">
        <v>2016</v>
      </c>
      <c r="B536" s="357" t="s">
        <v>476</v>
      </c>
      <c r="C536" s="357" t="s">
        <v>477</v>
      </c>
      <c r="D536" s="358">
        <v>1021011</v>
      </c>
      <c r="E536" s="358">
        <v>1</v>
      </c>
      <c r="F536" s="358"/>
      <c r="G536" s="358">
        <v>180</v>
      </c>
      <c r="H536" s="358" t="s">
        <v>56</v>
      </c>
      <c r="I536" s="358"/>
      <c r="J536" s="358" t="s">
        <v>57</v>
      </c>
      <c r="K536" s="359" t="b">
        <f t="shared" si="21"/>
        <v>0</v>
      </c>
      <c r="L536" s="359">
        <v>4</v>
      </c>
      <c r="M536" s="360">
        <v>2020</v>
      </c>
      <c r="N536" s="361">
        <v>380000</v>
      </c>
      <c r="O536" s="362">
        <v>42642</v>
      </c>
      <c r="P536" s="362">
        <v>42642</v>
      </c>
    </row>
    <row r="537" spans="1:16" ht="14.25">
      <c r="A537" s="356">
        <v>2016</v>
      </c>
      <c r="B537" s="357" t="s">
        <v>476</v>
      </c>
      <c r="C537" s="357" t="s">
        <v>477</v>
      </c>
      <c r="D537" s="358">
        <v>1021011</v>
      </c>
      <c r="E537" s="358">
        <v>1</v>
      </c>
      <c r="F537" s="358"/>
      <c r="G537" s="358">
        <v>180</v>
      </c>
      <c r="H537" s="358" t="s">
        <v>56</v>
      </c>
      <c r="I537" s="358"/>
      <c r="J537" s="358" t="s">
        <v>57</v>
      </c>
      <c r="K537" s="359" t="b">
        <f t="shared" si="21"/>
        <v>0</v>
      </c>
      <c r="L537" s="359">
        <v>1</v>
      </c>
      <c r="M537" s="360">
        <v>2017</v>
      </c>
      <c r="N537" s="361">
        <v>500000</v>
      </c>
      <c r="O537" s="362">
        <v>42642</v>
      </c>
      <c r="P537" s="362">
        <v>42642</v>
      </c>
    </row>
    <row r="538" spans="1:16" ht="14.25">
      <c r="A538" s="356">
        <v>2016</v>
      </c>
      <c r="B538" s="357" t="s">
        <v>476</v>
      </c>
      <c r="C538" s="357" t="s">
        <v>477</v>
      </c>
      <c r="D538" s="358">
        <v>1021011</v>
      </c>
      <c r="E538" s="358">
        <v>1</v>
      </c>
      <c r="F538" s="358"/>
      <c r="G538" s="358">
        <v>180</v>
      </c>
      <c r="H538" s="358" t="s">
        <v>56</v>
      </c>
      <c r="I538" s="358"/>
      <c r="J538" s="358" t="s">
        <v>57</v>
      </c>
      <c r="K538" s="359" t="b">
        <f t="shared" si="21"/>
        <v>0</v>
      </c>
      <c r="L538" s="359">
        <v>3</v>
      </c>
      <c r="M538" s="360">
        <v>2019</v>
      </c>
      <c r="N538" s="361">
        <v>440000</v>
      </c>
      <c r="O538" s="362">
        <v>42642</v>
      </c>
      <c r="P538" s="362">
        <v>42642</v>
      </c>
    </row>
    <row r="539" spans="1:16" ht="14.25">
      <c r="A539" s="356">
        <v>2016</v>
      </c>
      <c r="B539" s="357" t="s">
        <v>476</v>
      </c>
      <c r="C539" s="357" t="s">
        <v>477</v>
      </c>
      <c r="D539" s="358">
        <v>1021011</v>
      </c>
      <c r="E539" s="358">
        <v>1</v>
      </c>
      <c r="F539" s="358"/>
      <c r="G539" s="358">
        <v>180</v>
      </c>
      <c r="H539" s="358" t="s">
        <v>56</v>
      </c>
      <c r="I539" s="358"/>
      <c r="J539" s="358" t="s">
        <v>57</v>
      </c>
      <c r="K539" s="359" t="b">
        <f t="shared" si="21"/>
        <v>0</v>
      </c>
      <c r="L539" s="359">
        <v>0</v>
      </c>
      <c r="M539" s="360">
        <v>2016</v>
      </c>
      <c r="N539" s="361">
        <v>470000</v>
      </c>
      <c r="O539" s="362">
        <v>42642</v>
      </c>
      <c r="P539" s="362">
        <v>42642</v>
      </c>
    </row>
    <row r="540" spans="1:16" ht="14.25">
      <c r="A540" s="356">
        <v>2016</v>
      </c>
      <c r="B540" s="357" t="s">
        <v>476</v>
      </c>
      <c r="C540" s="357" t="s">
        <v>477</v>
      </c>
      <c r="D540" s="358">
        <v>1021011</v>
      </c>
      <c r="E540" s="358">
        <v>1</v>
      </c>
      <c r="F540" s="358"/>
      <c r="G540" s="358">
        <v>180</v>
      </c>
      <c r="H540" s="358" t="s">
        <v>56</v>
      </c>
      <c r="I540" s="358"/>
      <c r="J540" s="358" t="s">
        <v>57</v>
      </c>
      <c r="K540" s="359" t="b">
        <f t="shared" si="21"/>
        <v>0</v>
      </c>
      <c r="L540" s="359">
        <v>6</v>
      </c>
      <c r="M540" s="360">
        <v>2022</v>
      </c>
      <c r="N540" s="361">
        <v>210000</v>
      </c>
      <c r="O540" s="362">
        <v>42642</v>
      </c>
      <c r="P540" s="362">
        <v>42642</v>
      </c>
    </row>
    <row r="541" spans="1:16" ht="14.25">
      <c r="A541" s="356">
        <v>2016</v>
      </c>
      <c r="B541" s="357" t="s">
        <v>476</v>
      </c>
      <c r="C541" s="357" t="s">
        <v>477</v>
      </c>
      <c r="D541" s="358">
        <v>1021011</v>
      </c>
      <c r="E541" s="358">
        <v>1</v>
      </c>
      <c r="F541" s="358"/>
      <c r="G541" s="358">
        <v>180</v>
      </c>
      <c r="H541" s="358" t="s">
        <v>56</v>
      </c>
      <c r="I541" s="358"/>
      <c r="J541" s="358" t="s">
        <v>57</v>
      </c>
      <c r="K541" s="359" t="b">
        <f t="shared" si="21"/>
        <v>0</v>
      </c>
      <c r="L541" s="359">
        <v>2</v>
      </c>
      <c r="M541" s="360">
        <v>2018</v>
      </c>
      <c r="N541" s="361">
        <v>470000</v>
      </c>
      <c r="O541" s="362">
        <v>42642</v>
      </c>
      <c r="P541" s="362">
        <v>42642</v>
      </c>
    </row>
    <row r="542" spans="1:16" ht="14.25">
      <c r="A542" s="356">
        <v>2016</v>
      </c>
      <c r="B542" s="357" t="s">
        <v>476</v>
      </c>
      <c r="C542" s="357" t="s">
        <v>477</v>
      </c>
      <c r="D542" s="358">
        <v>1021011</v>
      </c>
      <c r="E542" s="358">
        <v>1</v>
      </c>
      <c r="F542" s="358"/>
      <c r="G542" s="358">
        <v>180</v>
      </c>
      <c r="H542" s="358" t="s">
        <v>56</v>
      </c>
      <c r="I542" s="358"/>
      <c r="J542" s="358" t="s">
        <v>57</v>
      </c>
      <c r="K542" s="359" t="b">
        <f t="shared" si="21"/>
        <v>0</v>
      </c>
      <c r="L542" s="359">
        <v>7</v>
      </c>
      <c r="M542" s="360">
        <v>2023</v>
      </c>
      <c r="N542" s="361">
        <v>130000</v>
      </c>
      <c r="O542" s="362">
        <v>42642</v>
      </c>
      <c r="P542" s="362">
        <v>42642</v>
      </c>
    </row>
    <row r="543" spans="1:16" ht="14.25">
      <c r="A543" s="356">
        <v>2016</v>
      </c>
      <c r="B543" s="357" t="s">
        <v>476</v>
      </c>
      <c r="C543" s="357" t="s">
        <v>477</v>
      </c>
      <c r="D543" s="358">
        <v>1021011</v>
      </c>
      <c r="E543" s="358">
        <v>1</v>
      </c>
      <c r="F543" s="358"/>
      <c r="G543" s="358">
        <v>180</v>
      </c>
      <c r="H543" s="358" t="s">
        <v>56</v>
      </c>
      <c r="I543" s="358"/>
      <c r="J543" s="358" t="s">
        <v>57</v>
      </c>
      <c r="K543" s="359" t="b">
        <f t="shared" si="21"/>
        <v>0</v>
      </c>
      <c r="L543" s="359">
        <v>5</v>
      </c>
      <c r="M543" s="360">
        <v>2021</v>
      </c>
      <c r="N543" s="361">
        <v>300000</v>
      </c>
      <c r="O543" s="362">
        <v>42642</v>
      </c>
      <c r="P543" s="362">
        <v>42642</v>
      </c>
    </row>
    <row r="544" spans="1:16" ht="14.25">
      <c r="A544" s="356">
        <v>2016</v>
      </c>
      <c r="B544" s="357" t="s">
        <v>476</v>
      </c>
      <c r="C544" s="357" t="s">
        <v>477</v>
      </c>
      <c r="D544" s="358">
        <v>1021011</v>
      </c>
      <c r="E544" s="358">
        <v>1</v>
      </c>
      <c r="F544" s="358"/>
      <c r="G544" s="358">
        <v>730</v>
      </c>
      <c r="H544" s="358">
        <v>12.3</v>
      </c>
      <c r="I544" s="358"/>
      <c r="J544" s="358" t="s">
        <v>191</v>
      </c>
      <c r="K544" s="359" t="b">
        <f t="shared" si="21"/>
        <v>0</v>
      </c>
      <c r="L544" s="359">
        <v>0</v>
      </c>
      <c r="M544" s="360">
        <v>2016</v>
      </c>
      <c r="N544" s="361">
        <v>13250</v>
      </c>
      <c r="O544" s="362">
        <v>42642</v>
      </c>
      <c r="P544" s="362">
        <v>42642</v>
      </c>
    </row>
    <row r="545" spans="1:16" ht="14.25">
      <c r="A545" s="356">
        <v>2016</v>
      </c>
      <c r="B545" s="357" t="s">
        <v>476</v>
      </c>
      <c r="C545" s="357" t="s">
        <v>477</v>
      </c>
      <c r="D545" s="358">
        <v>1021011</v>
      </c>
      <c r="E545" s="358">
        <v>1</v>
      </c>
      <c r="F545" s="358"/>
      <c r="G545" s="358">
        <v>730</v>
      </c>
      <c r="H545" s="358">
        <v>12.3</v>
      </c>
      <c r="I545" s="358"/>
      <c r="J545" s="358" t="s">
        <v>191</v>
      </c>
      <c r="K545" s="359" t="b">
        <f t="shared" si="21"/>
        <v>0</v>
      </c>
      <c r="L545" s="359">
        <v>4</v>
      </c>
      <c r="M545" s="360">
        <v>2020</v>
      </c>
      <c r="N545" s="361">
        <v>0</v>
      </c>
      <c r="O545" s="362">
        <v>42642</v>
      </c>
      <c r="P545" s="362">
        <v>42642</v>
      </c>
    </row>
    <row r="546" spans="1:16" ht="14.25">
      <c r="A546" s="356">
        <v>2016</v>
      </c>
      <c r="B546" s="357" t="s">
        <v>476</v>
      </c>
      <c r="C546" s="357" t="s">
        <v>477</v>
      </c>
      <c r="D546" s="358">
        <v>1021011</v>
      </c>
      <c r="E546" s="358">
        <v>1</v>
      </c>
      <c r="F546" s="358"/>
      <c r="G546" s="358">
        <v>730</v>
      </c>
      <c r="H546" s="358">
        <v>12.3</v>
      </c>
      <c r="I546" s="358"/>
      <c r="J546" s="358" t="s">
        <v>191</v>
      </c>
      <c r="K546" s="359" t="b">
        <f t="shared" si="21"/>
        <v>0</v>
      </c>
      <c r="L546" s="359">
        <v>1</v>
      </c>
      <c r="M546" s="360">
        <v>2017</v>
      </c>
      <c r="N546" s="361">
        <v>0</v>
      </c>
      <c r="O546" s="362">
        <v>42642</v>
      </c>
      <c r="P546" s="362">
        <v>42642</v>
      </c>
    </row>
    <row r="547" spans="1:16" ht="14.25">
      <c r="A547" s="356">
        <v>2016</v>
      </c>
      <c r="B547" s="357" t="s">
        <v>476</v>
      </c>
      <c r="C547" s="357" t="s">
        <v>477</v>
      </c>
      <c r="D547" s="358">
        <v>1021011</v>
      </c>
      <c r="E547" s="358">
        <v>1</v>
      </c>
      <c r="F547" s="358"/>
      <c r="G547" s="358">
        <v>730</v>
      </c>
      <c r="H547" s="358">
        <v>12.3</v>
      </c>
      <c r="I547" s="358"/>
      <c r="J547" s="358" t="s">
        <v>191</v>
      </c>
      <c r="K547" s="359" t="b">
        <f t="shared" si="21"/>
        <v>0</v>
      </c>
      <c r="L547" s="359">
        <v>5</v>
      </c>
      <c r="M547" s="360">
        <v>2021</v>
      </c>
      <c r="N547" s="361">
        <v>0</v>
      </c>
      <c r="O547" s="362">
        <v>42642</v>
      </c>
      <c r="P547" s="362">
        <v>42642</v>
      </c>
    </row>
    <row r="548" spans="1:16" ht="14.25">
      <c r="A548" s="356">
        <v>2016</v>
      </c>
      <c r="B548" s="357" t="s">
        <v>476</v>
      </c>
      <c r="C548" s="357" t="s">
        <v>477</v>
      </c>
      <c r="D548" s="358">
        <v>1021011</v>
      </c>
      <c r="E548" s="358">
        <v>1</v>
      </c>
      <c r="F548" s="358"/>
      <c r="G548" s="358">
        <v>730</v>
      </c>
      <c r="H548" s="358">
        <v>12.3</v>
      </c>
      <c r="I548" s="358"/>
      <c r="J548" s="358" t="s">
        <v>191</v>
      </c>
      <c r="K548" s="359" t="b">
        <f t="shared" si="21"/>
        <v>0</v>
      </c>
      <c r="L548" s="359">
        <v>3</v>
      </c>
      <c r="M548" s="360">
        <v>2019</v>
      </c>
      <c r="N548" s="361">
        <v>0</v>
      </c>
      <c r="O548" s="362">
        <v>42642</v>
      </c>
      <c r="P548" s="362">
        <v>42642</v>
      </c>
    </row>
    <row r="549" spans="1:16" ht="14.25">
      <c r="A549" s="356">
        <v>2016</v>
      </c>
      <c r="B549" s="357" t="s">
        <v>476</v>
      </c>
      <c r="C549" s="357" t="s">
        <v>477</v>
      </c>
      <c r="D549" s="358">
        <v>1021011</v>
      </c>
      <c r="E549" s="358">
        <v>1</v>
      </c>
      <c r="F549" s="358"/>
      <c r="G549" s="358">
        <v>730</v>
      </c>
      <c r="H549" s="358">
        <v>12.3</v>
      </c>
      <c r="I549" s="358"/>
      <c r="J549" s="358" t="s">
        <v>191</v>
      </c>
      <c r="K549" s="359" t="b">
        <f t="shared" si="21"/>
        <v>0</v>
      </c>
      <c r="L549" s="359">
        <v>8</v>
      </c>
      <c r="M549" s="360">
        <v>2024</v>
      </c>
      <c r="N549" s="361">
        <v>0</v>
      </c>
      <c r="O549" s="362">
        <v>42642</v>
      </c>
      <c r="P549" s="362">
        <v>42642</v>
      </c>
    </row>
    <row r="550" spans="1:16" ht="14.25">
      <c r="A550" s="356">
        <v>2016</v>
      </c>
      <c r="B550" s="357" t="s">
        <v>476</v>
      </c>
      <c r="C550" s="357" t="s">
        <v>477</v>
      </c>
      <c r="D550" s="358">
        <v>1021011</v>
      </c>
      <c r="E550" s="358">
        <v>1</v>
      </c>
      <c r="F550" s="358"/>
      <c r="G550" s="358">
        <v>730</v>
      </c>
      <c r="H550" s="358">
        <v>12.3</v>
      </c>
      <c r="I550" s="358"/>
      <c r="J550" s="358" t="s">
        <v>191</v>
      </c>
      <c r="K550" s="359" t="b">
        <f t="shared" si="21"/>
        <v>0</v>
      </c>
      <c r="L550" s="359">
        <v>6</v>
      </c>
      <c r="M550" s="360">
        <v>2022</v>
      </c>
      <c r="N550" s="361">
        <v>0</v>
      </c>
      <c r="O550" s="362">
        <v>42642</v>
      </c>
      <c r="P550" s="362">
        <v>42642</v>
      </c>
    </row>
    <row r="551" spans="1:16" ht="14.25">
      <c r="A551" s="356">
        <v>2016</v>
      </c>
      <c r="B551" s="357" t="s">
        <v>476</v>
      </c>
      <c r="C551" s="357" t="s">
        <v>477</v>
      </c>
      <c r="D551" s="358">
        <v>1021011</v>
      </c>
      <c r="E551" s="358">
        <v>1</v>
      </c>
      <c r="F551" s="358"/>
      <c r="G551" s="358">
        <v>730</v>
      </c>
      <c r="H551" s="358">
        <v>12.3</v>
      </c>
      <c r="I551" s="358"/>
      <c r="J551" s="358" t="s">
        <v>191</v>
      </c>
      <c r="K551" s="359" t="b">
        <f t="shared" si="21"/>
        <v>0</v>
      </c>
      <c r="L551" s="359">
        <v>7</v>
      </c>
      <c r="M551" s="360">
        <v>2023</v>
      </c>
      <c r="N551" s="361">
        <v>0</v>
      </c>
      <c r="O551" s="362">
        <v>42642</v>
      </c>
      <c r="P551" s="362">
        <v>42642</v>
      </c>
    </row>
    <row r="552" spans="1:16" ht="14.25">
      <c r="A552" s="356">
        <v>2016</v>
      </c>
      <c r="B552" s="357" t="s">
        <v>476</v>
      </c>
      <c r="C552" s="357" t="s">
        <v>477</v>
      </c>
      <c r="D552" s="358">
        <v>1021011</v>
      </c>
      <c r="E552" s="358">
        <v>1</v>
      </c>
      <c r="F552" s="358"/>
      <c r="G552" s="358">
        <v>730</v>
      </c>
      <c r="H552" s="358">
        <v>12.3</v>
      </c>
      <c r="I552" s="358"/>
      <c r="J552" s="358" t="s">
        <v>191</v>
      </c>
      <c r="K552" s="359" t="b">
        <f t="shared" si="21"/>
        <v>0</v>
      </c>
      <c r="L552" s="359">
        <v>2</v>
      </c>
      <c r="M552" s="360">
        <v>2018</v>
      </c>
      <c r="N552" s="361">
        <v>0</v>
      </c>
      <c r="O552" s="362">
        <v>42642</v>
      </c>
      <c r="P552" s="362">
        <v>42642</v>
      </c>
    </row>
    <row r="553" spans="1:16" ht="14.25">
      <c r="A553" s="356">
        <v>2016</v>
      </c>
      <c r="B553" s="357" t="s">
        <v>476</v>
      </c>
      <c r="C553" s="357" t="s">
        <v>477</v>
      </c>
      <c r="D553" s="358">
        <v>1021011</v>
      </c>
      <c r="E553" s="358">
        <v>1</v>
      </c>
      <c r="F553" s="358"/>
      <c r="G553" s="358">
        <v>190</v>
      </c>
      <c r="H553" s="358">
        <v>2.2</v>
      </c>
      <c r="I553" s="358"/>
      <c r="J553" s="358" t="s">
        <v>66</v>
      </c>
      <c r="K553" s="359" t="b">
        <f t="shared" si="21"/>
        <v>0</v>
      </c>
      <c r="L553" s="359">
        <v>5</v>
      </c>
      <c r="M553" s="360">
        <v>2021</v>
      </c>
      <c r="N553" s="361">
        <v>2689996</v>
      </c>
      <c r="O553" s="362">
        <v>42642</v>
      </c>
      <c r="P553" s="362">
        <v>42642</v>
      </c>
    </row>
    <row r="554" spans="1:16" ht="14.25">
      <c r="A554" s="356">
        <v>2016</v>
      </c>
      <c r="B554" s="357" t="s">
        <v>476</v>
      </c>
      <c r="C554" s="357" t="s">
        <v>477</v>
      </c>
      <c r="D554" s="358">
        <v>1021011</v>
      </c>
      <c r="E554" s="358">
        <v>1</v>
      </c>
      <c r="F554" s="358"/>
      <c r="G554" s="358">
        <v>190</v>
      </c>
      <c r="H554" s="358">
        <v>2.2</v>
      </c>
      <c r="I554" s="358"/>
      <c r="J554" s="358" t="s">
        <v>66</v>
      </c>
      <c r="K554" s="359" t="b">
        <f t="shared" si="21"/>
        <v>0</v>
      </c>
      <c r="L554" s="359">
        <v>3</v>
      </c>
      <c r="M554" s="360">
        <v>2019</v>
      </c>
      <c r="N554" s="361">
        <v>2039996</v>
      </c>
      <c r="O554" s="362">
        <v>42642</v>
      </c>
      <c r="P554" s="362">
        <v>42642</v>
      </c>
    </row>
    <row r="555" spans="1:16" ht="14.25">
      <c r="A555" s="356">
        <v>2016</v>
      </c>
      <c r="B555" s="357" t="s">
        <v>476</v>
      </c>
      <c r="C555" s="357" t="s">
        <v>477</v>
      </c>
      <c r="D555" s="358">
        <v>1021011</v>
      </c>
      <c r="E555" s="358">
        <v>1</v>
      </c>
      <c r="F555" s="358"/>
      <c r="G555" s="358">
        <v>190</v>
      </c>
      <c r="H555" s="358">
        <v>2.2</v>
      </c>
      <c r="I555" s="358"/>
      <c r="J555" s="358" t="s">
        <v>66</v>
      </c>
      <c r="K555" s="359" t="b">
        <f t="shared" si="21"/>
        <v>0</v>
      </c>
      <c r="L555" s="359">
        <v>4</v>
      </c>
      <c r="M555" s="360">
        <v>2020</v>
      </c>
      <c r="N555" s="361">
        <v>2189996</v>
      </c>
      <c r="O555" s="362">
        <v>42642</v>
      </c>
      <c r="P555" s="362">
        <v>42642</v>
      </c>
    </row>
    <row r="556" spans="1:16" ht="14.25">
      <c r="A556" s="356">
        <v>2016</v>
      </c>
      <c r="B556" s="357" t="s">
        <v>476</v>
      </c>
      <c r="C556" s="357" t="s">
        <v>477</v>
      </c>
      <c r="D556" s="358">
        <v>1021011</v>
      </c>
      <c r="E556" s="358">
        <v>1</v>
      </c>
      <c r="F556" s="358"/>
      <c r="G556" s="358">
        <v>190</v>
      </c>
      <c r="H556" s="358">
        <v>2.2</v>
      </c>
      <c r="I556" s="358"/>
      <c r="J556" s="358" t="s">
        <v>66</v>
      </c>
      <c r="K556" s="359" t="b">
        <f t="shared" si="21"/>
        <v>0</v>
      </c>
      <c r="L556" s="359">
        <v>6</v>
      </c>
      <c r="M556" s="360">
        <v>2022</v>
      </c>
      <c r="N556" s="361">
        <v>3149996</v>
      </c>
      <c r="O556" s="362">
        <v>42642</v>
      </c>
      <c r="P556" s="362">
        <v>42642</v>
      </c>
    </row>
    <row r="557" spans="1:16" ht="14.25">
      <c r="A557" s="356">
        <v>2016</v>
      </c>
      <c r="B557" s="357" t="s">
        <v>476</v>
      </c>
      <c r="C557" s="357" t="s">
        <v>477</v>
      </c>
      <c r="D557" s="358">
        <v>1021011</v>
      </c>
      <c r="E557" s="358">
        <v>1</v>
      </c>
      <c r="F557" s="358"/>
      <c r="G557" s="358">
        <v>190</v>
      </c>
      <c r="H557" s="358">
        <v>2.2</v>
      </c>
      <c r="I557" s="358"/>
      <c r="J557" s="358" t="s">
        <v>66</v>
      </c>
      <c r="K557" s="359" t="b">
        <f t="shared" si="21"/>
        <v>0</v>
      </c>
      <c r="L557" s="359">
        <v>2</v>
      </c>
      <c r="M557" s="360">
        <v>2018</v>
      </c>
      <c r="N557" s="361">
        <v>1721796</v>
      </c>
      <c r="O557" s="362">
        <v>42642</v>
      </c>
      <c r="P557" s="362">
        <v>42642</v>
      </c>
    </row>
    <row r="558" spans="1:16" ht="14.25">
      <c r="A558" s="356">
        <v>2016</v>
      </c>
      <c r="B558" s="357" t="s">
        <v>476</v>
      </c>
      <c r="C558" s="357" t="s">
        <v>477</v>
      </c>
      <c r="D558" s="358">
        <v>1021011</v>
      </c>
      <c r="E558" s="358">
        <v>1</v>
      </c>
      <c r="F558" s="358"/>
      <c r="G558" s="358">
        <v>190</v>
      </c>
      <c r="H558" s="358">
        <v>2.2</v>
      </c>
      <c r="I558" s="358"/>
      <c r="J558" s="358" t="s">
        <v>66</v>
      </c>
      <c r="K558" s="359" t="b">
        <f t="shared" si="21"/>
        <v>0</v>
      </c>
      <c r="L558" s="359">
        <v>7</v>
      </c>
      <c r="M558" s="360">
        <v>2023</v>
      </c>
      <c r="N558" s="361">
        <v>3482000</v>
      </c>
      <c r="O558" s="362">
        <v>42642</v>
      </c>
      <c r="P558" s="362">
        <v>42642</v>
      </c>
    </row>
    <row r="559" spans="1:16" ht="14.25">
      <c r="A559" s="356">
        <v>2016</v>
      </c>
      <c r="B559" s="357" t="s">
        <v>476</v>
      </c>
      <c r="C559" s="357" t="s">
        <v>477</v>
      </c>
      <c r="D559" s="358">
        <v>1021011</v>
      </c>
      <c r="E559" s="358">
        <v>1</v>
      </c>
      <c r="F559" s="358"/>
      <c r="G559" s="358">
        <v>190</v>
      </c>
      <c r="H559" s="358">
        <v>2.2</v>
      </c>
      <c r="I559" s="358"/>
      <c r="J559" s="358" t="s">
        <v>66</v>
      </c>
      <c r="K559" s="359" t="b">
        <f t="shared" si="21"/>
        <v>0</v>
      </c>
      <c r="L559" s="359">
        <v>8</v>
      </c>
      <c r="M559" s="360">
        <v>2024</v>
      </c>
      <c r="N559" s="361">
        <v>4334308</v>
      </c>
      <c r="O559" s="362">
        <v>42642</v>
      </c>
      <c r="P559" s="362">
        <v>42642</v>
      </c>
    </row>
    <row r="560" spans="1:16" ht="14.25">
      <c r="A560" s="356">
        <v>2016</v>
      </c>
      <c r="B560" s="357" t="s">
        <v>476</v>
      </c>
      <c r="C560" s="357" t="s">
        <v>477</v>
      </c>
      <c r="D560" s="358">
        <v>1021011</v>
      </c>
      <c r="E560" s="358">
        <v>1</v>
      </c>
      <c r="F560" s="358"/>
      <c r="G560" s="358">
        <v>190</v>
      </c>
      <c r="H560" s="358">
        <v>2.2</v>
      </c>
      <c r="I560" s="358"/>
      <c r="J560" s="358" t="s">
        <v>66</v>
      </c>
      <c r="K560" s="359" t="b">
        <f t="shared" si="21"/>
        <v>0</v>
      </c>
      <c r="L560" s="359">
        <v>0</v>
      </c>
      <c r="M560" s="360">
        <v>2016</v>
      </c>
      <c r="N560" s="361">
        <v>4205419.73</v>
      </c>
      <c r="O560" s="362">
        <v>42642</v>
      </c>
      <c r="P560" s="362">
        <v>42642</v>
      </c>
    </row>
    <row r="561" spans="1:16" ht="14.25">
      <c r="A561" s="356">
        <v>2016</v>
      </c>
      <c r="B561" s="357" t="s">
        <v>476</v>
      </c>
      <c r="C561" s="357" t="s">
        <v>477</v>
      </c>
      <c r="D561" s="358">
        <v>1021011</v>
      </c>
      <c r="E561" s="358">
        <v>1</v>
      </c>
      <c r="F561" s="358"/>
      <c r="G561" s="358">
        <v>190</v>
      </c>
      <c r="H561" s="358">
        <v>2.2</v>
      </c>
      <c r="I561" s="358"/>
      <c r="J561" s="358" t="s">
        <v>66</v>
      </c>
      <c r="K561" s="359" t="b">
        <f t="shared" si="21"/>
        <v>0</v>
      </c>
      <c r="L561" s="359">
        <v>1</v>
      </c>
      <c r="M561" s="360">
        <v>2017</v>
      </c>
      <c r="N561" s="361">
        <v>2774683.87</v>
      </c>
      <c r="O561" s="362">
        <v>42642</v>
      </c>
      <c r="P561" s="362">
        <v>42642</v>
      </c>
    </row>
    <row r="562" spans="1:16" ht="14.25">
      <c r="A562" s="356">
        <v>2016</v>
      </c>
      <c r="B562" s="357" t="s">
        <v>476</v>
      </c>
      <c r="C562" s="357" t="s">
        <v>477</v>
      </c>
      <c r="D562" s="358">
        <v>1021011</v>
      </c>
      <c r="E562" s="358">
        <v>1</v>
      </c>
      <c r="F562" s="358"/>
      <c r="G562" s="358">
        <v>1000</v>
      </c>
      <c r="H562" s="358">
        <v>16.1</v>
      </c>
      <c r="I562" s="358"/>
      <c r="J562" s="358" t="s">
        <v>480</v>
      </c>
      <c r="K562" s="359" t="b">
        <f aca="true" t="shared" si="22" ref="K562:K633">TRUE</f>
        <v>1</v>
      </c>
      <c r="L562" s="359">
        <v>4</v>
      </c>
      <c r="M562" s="360">
        <v>2020</v>
      </c>
      <c r="N562" s="361">
        <v>0</v>
      </c>
      <c r="O562" s="362">
        <v>42642</v>
      </c>
      <c r="P562" s="362">
        <v>42642</v>
      </c>
    </row>
    <row r="563" spans="1:16" ht="14.25">
      <c r="A563" s="356">
        <v>2016</v>
      </c>
      <c r="B563" s="357" t="s">
        <v>476</v>
      </c>
      <c r="C563" s="357" t="s">
        <v>477</v>
      </c>
      <c r="D563" s="358">
        <v>1021011</v>
      </c>
      <c r="E563" s="358">
        <v>1</v>
      </c>
      <c r="F563" s="358"/>
      <c r="G563" s="358">
        <v>1000</v>
      </c>
      <c r="H563" s="358">
        <v>16.1</v>
      </c>
      <c r="I563" s="358"/>
      <c r="J563" s="358" t="s">
        <v>480</v>
      </c>
      <c r="K563" s="359" t="b">
        <f t="shared" si="22"/>
        <v>1</v>
      </c>
      <c r="L563" s="359">
        <v>5</v>
      </c>
      <c r="M563" s="360">
        <v>2021</v>
      </c>
      <c r="N563" s="361">
        <v>0</v>
      </c>
      <c r="O563" s="362">
        <v>42642</v>
      </c>
      <c r="P563" s="362">
        <v>42642</v>
      </c>
    </row>
    <row r="564" spans="1:16" ht="14.25">
      <c r="A564" s="356">
        <v>2016</v>
      </c>
      <c r="B564" s="357" t="s">
        <v>476</v>
      </c>
      <c r="C564" s="357" t="s">
        <v>477</v>
      </c>
      <c r="D564" s="358">
        <v>1021011</v>
      </c>
      <c r="E564" s="358">
        <v>1</v>
      </c>
      <c r="F564" s="358"/>
      <c r="G564" s="358">
        <v>1000</v>
      </c>
      <c r="H564" s="358">
        <v>16.1</v>
      </c>
      <c r="I564" s="358"/>
      <c r="J564" s="358" t="s">
        <v>480</v>
      </c>
      <c r="K564" s="359" t="b">
        <f t="shared" si="22"/>
        <v>1</v>
      </c>
      <c r="L564" s="359">
        <v>3</v>
      </c>
      <c r="M564" s="360">
        <v>2019</v>
      </c>
      <c r="N564" s="361">
        <v>0</v>
      </c>
      <c r="O564" s="362">
        <v>42642</v>
      </c>
      <c r="P564" s="362">
        <v>42642</v>
      </c>
    </row>
    <row r="565" spans="1:16" ht="14.25">
      <c r="A565" s="356">
        <v>2016</v>
      </c>
      <c r="B565" s="357" t="s">
        <v>476</v>
      </c>
      <c r="C565" s="357" t="s">
        <v>477</v>
      </c>
      <c r="D565" s="358">
        <v>1021011</v>
      </c>
      <c r="E565" s="358">
        <v>1</v>
      </c>
      <c r="F565" s="358"/>
      <c r="G565" s="358">
        <v>1000</v>
      </c>
      <c r="H565" s="358">
        <v>16.1</v>
      </c>
      <c r="I565" s="358"/>
      <c r="J565" s="358" t="s">
        <v>480</v>
      </c>
      <c r="K565" s="359" t="b">
        <f t="shared" si="22"/>
        <v>1</v>
      </c>
      <c r="L565" s="359">
        <v>1</v>
      </c>
      <c r="M565" s="360">
        <v>2017</v>
      </c>
      <c r="N565" s="361">
        <v>0</v>
      </c>
      <c r="O565" s="362">
        <v>42642</v>
      </c>
      <c r="P565" s="362">
        <v>42642</v>
      </c>
    </row>
    <row r="566" spans="1:16" ht="14.25">
      <c r="A566" s="356">
        <v>2016</v>
      </c>
      <c r="B566" s="357" t="s">
        <v>476</v>
      </c>
      <c r="C566" s="357" t="s">
        <v>477</v>
      </c>
      <c r="D566" s="358">
        <v>1021011</v>
      </c>
      <c r="E566" s="358">
        <v>1</v>
      </c>
      <c r="F566" s="358"/>
      <c r="G566" s="358">
        <v>1000</v>
      </c>
      <c r="H566" s="358">
        <v>16.1</v>
      </c>
      <c r="I566" s="358"/>
      <c r="J566" s="358" t="s">
        <v>480</v>
      </c>
      <c r="K566" s="359" t="b">
        <f t="shared" si="22"/>
        <v>1</v>
      </c>
      <c r="L566" s="359">
        <v>0</v>
      </c>
      <c r="M566" s="360">
        <v>2016</v>
      </c>
      <c r="N566" s="361">
        <v>0</v>
      </c>
      <c r="O566" s="362">
        <v>42642</v>
      </c>
      <c r="P566" s="362">
        <v>42642</v>
      </c>
    </row>
    <row r="567" spans="1:16" ht="14.25">
      <c r="A567" s="356">
        <v>2016</v>
      </c>
      <c r="B567" s="357" t="s">
        <v>476</v>
      </c>
      <c r="C567" s="357" t="s">
        <v>477</v>
      </c>
      <c r="D567" s="358">
        <v>1021011</v>
      </c>
      <c r="E567" s="358">
        <v>1</v>
      </c>
      <c r="F567" s="358"/>
      <c r="G567" s="358">
        <v>1000</v>
      </c>
      <c r="H567" s="358">
        <v>16.1</v>
      </c>
      <c r="I567" s="358"/>
      <c r="J567" s="358" t="s">
        <v>480</v>
      </c>
      <c r="K567" s="359" t="b">
        <f t="shared" si="22"/>
        <v>1</v>
      </c>
      <c r="L567" s="359">
        <v>2</v>
      </c>
      <c r="M567" s="360">
        <v>2018</v>
      </c>
      <c r="N567" s="361">
        <v>0</v>
      </c>
      <c r="O567" s="362">
        <v>42642</v>
      </c>
      <c r="P567" s="362">
        <v>42642</v>
      </c>
    </row>
    <row r="568" spans="1:16" ht="14.25">
      <c r="A568" s="356">
        <v>2016</v>
      </c>
      <c r="B568" s="357" t="s">
        <v>476</v>
      </c>
      <c r="C568" s="357" t="s">
        <v>477</v>
      </c>
      <c r="D568" s="358">
        <v>1021011</v>
      </c>
      <c r="E568" s="358">
        <v>1</v>
      </c>
      <c r="F568" s="358"/>
      <c r="G568" s="358">
        <v>1000</v>
      </c>
      <c r="H568" s="358">
        <v>16.1</v>
      </c>
      <c r="I568" s="358"/>
      <c r="J568" s="358" t="s">
        <v>480</v>
      </c>
      <c r="K568" s="359" t="b">
        <f t="shared" si="22"/>
        <v>1</v>
      </c>
      <c r="L568" s="359">
        <v>8</v>
      </c>
      <c r="M568" s="360">
        <v>2024</v>
      </c>
      <c r="N568" s="361">
        <v>0</v>
      </c>
      <c r="O568" s="362">
        <v>42642</v>
      </c>
      <c r="P568" s="362">
        <v>42642</v>
      </c>
    </row>
    <row r="569" spans="1:16" ht="14.25">
      <c r="A569" s="356">
        <v>2016</v>
      </c>
      <c r="B569" s="357" t="s">
        <v>476</v>
      </c>
      <c r="C569" s="357" t="s">
        <v>477</v>
      </c>
      <c r="D569" s="358">
        <v>1021011</v>
      </c>
      <c r="E569" s="358">
        <v>1</v>
      </c>
      <c r="F569" s="358"/>
      <c r="G569" s="358">
        <v>1000</v>
      </c>
      <c r="H569" s="358">
        <v>16.1</v>
      </c>
      <c r="I569" s="358"/>
      <c r="J569" s="358" t="s">
        <v>480</v>
      </c>
      <c r="K569" s="359" t="b">
        <f t="shared" si="22"/>
        <v>1</v>
      </c>
      <c r="L569" s="359">
        <v>7</v>
      </c>
      <c r="M569" s="360">
        <v>2023</v>
      </c>
      <c r="N569" s="361">
        <v>0</v>
      </c>
      <c r="O569" s="362">
        <v>42642</v>
      </c>
      <c r="P569" s="362">
        <v>42642</v>
      </c>
    </row>
    <row r="570" spans="1:16" ht="14.25">
      <c r="A570" s="356">
        <v>2016</v>
      </c>
      <c r="B570" s="357" t="s">
        <v>476</v>
      </c>
      <c r="C570" s="357" t="s">
        <v>477</v>
      </c>
      <c r="D570" s="358">
        <v>1021011</v>
      </c>
      <c r="E570" s="358">
        <v>1</v>
      </c>
      <c r="F570" s="358"/>
      <c r="G570" s="358">
        <v>1000</v>
      </c>
      <c r="H570" s="358">
        <v>16.1</v>
      </c>
      <c r="I570" s="358"/>
      <c r="J570" s="358" t="s">
        <v>480</v>
      </c>
      <c r="K570" s="359" t="b">
        <f t="shared" si="22"/>
        <v>1</v>
      </c>
      <c r="L570" s="359">
        <v>6</v>
      </c>
      <c r="M570" s="360">
        <v>2022</v>
      </c>
      <c r="N570" s="361">
        <v>0</v>
      </c>
      <c r="O570" s="362">
        <v>42642</v>
      </c>
      <c r="P570" s="362">
        <v>42642</v>
      </c>
    </row>
    <row r="571" spans="1:16" ht="14.25">
      <c r="A571" s="356">
        <v>2016</v>
      </c>
      <c r="B571" s="357" t="s">
        <v>476</v>
      </c>
      <c r="C571" s="357" t="s">
        <v>477</v>
      </c>
      <c r="D571" s="358">
        <v>1021011</v>
      </c>
      <c r="E571" s="358">
        <v>1</v>
      </c>
      <c r="F571" s="358"/>
      <c r="G571" s="358">
        <v>910</v>
      </c>
      <c r="H571" s="358" t="s">
        <v>258</v>
      </c>
      <c r="I571" s="358"/>
      <c r="J571" s="358" t="s">
        <v>259</v>
      </c>
      <c r="K571" s="359" t="b">
        <f t="shared" si="22"/>
        <v>1</v>
      </c>
      <c r="L571" s="359">
        <v>8</v>
      </c>
      <c r="M571" s="360">
        <v>2024</v>
      </c>
      <c r="N571" s="361">
        <v>0</v>
      </c>
      <c r="O571" s="362">
        <v>42642</v>
      </c>
      <c r="P571" s="362">
        <v>42642</v>
      </c>
    </row>
    <row r="572" spans="1:16" ht="14.25">
      <c r="A572" s="356">
        <v>2016</v>
      </c>
      <c r="B572" s="357" t="s">
        <v>476</v>
      </c>
      <c r="C572" s="357" t="s">
        <v>477</v>
      </c>
      <c r="D572" s="358">
        <v>1021011</v>
      </c>
      <c r="E572" s="358">
        <v>1</v>
      </c>
      <c r="F572" s="358"/>
      <c r="G572" s="358">
        <v>910</v>
      </c>
      <c r="H572" s="358" t="s">
        <v>258</v>
      </c>
      <c r="I572" s="358"/>
      <c r="J572" s="358" t="s">
        <v>259</v>
      </c>
      <c r="K572" s="359" t="b">
        <f t="shared" si="22"/>
        <v>1</v>
      </c>
      <c r="L572" s="359">
        <v>3</v>
      </c>
      <c r="M572" s="360">
        <v>2019</v>
      </c>
      <c r="N572" s="361">
        <v>0</v>
      </c>
      <c r="O572" s="362">
        <v>42642</v>
      </c>
      <c r="P572" s="362">
        <v>42642</v>
      </c>
    </row>
    <row r="573" spans="1:16" ht="14.25">
      <c r="A573" s="356">
        <v>2016</v>
      </c>
      <c r="B573" s="357" t="s">
        <v>476</v>
      </c>
      <c r="C573" s="357" t="s">
        <v>477</v>
      </c>
      <c r="D573" s="358">
        <v>1021011</v>
      </c>
      <c r="E573" s="358">
        <v>1</v>
      </c>
      <c r="F573" s="358"/>
      <c r="G573" s="358">
        <v>910</v>
      </c>
      <c r="H573" s="358" t="s">
        <v>258</v>
      </c>
      <c r="I573" s="358"/>
      <c r="J573" s="358" t="s">
        <v>259</v>
      </c>
      <c r="K573" s="359" t="b">
        <f t="shared" si="22"/>
        <v>1</v>
      </c>
      <c r="L573" s="359">
        <v>7</v>
      </c>
      <c r="M573" s="360">
        <v>2023</v>
      </c>
      <c r="N573" s="361">
        <v>0</v>
      </c>
      <c r="O573" s="362">
        <v>42642</v>
      </c>
      <c r="P573" s="362">
        <v>42642</v>
      </c>
    </row>
    <row r="574" spans="1:16" ht="14.25">
      <c r="A574" s="356">
        <v>2016</v>
      </c>
      <c r="B574" s="357" t="s">
        <v>476</v>
      </c>
      <c r="C574" s="357" t="s">
        <v>477</v>
      </c>
      <c r="D574" s="358">
        <v>1021011</v>
      </c>
      <c r="E574" s="358">
        <v>1</v>
      </c>
      <c r="F574" s="358"/>
      <c r="G574" s="358">
        <v>910</v>
      </c>
      <c r="H574" s="358" t="s">
        <v>258</v>
      </c>
      <c r="I574" s="358"/>
      <c r="J574" s="358" t="s">
        <v>259</v>
      </c>
      <c r="K574" s="359" t="b">
        <f t="shared" si="22"/>
        <v>1</v>
      </c>
      <c r="L574" s="359">
        <v>6</v>
      </c>
      <c r="M574" s="360">
        <v>2022</v>
      </c>
      <c r="N574" s="361">
        <v>0</v>
      </c>
      <c r="O574" s="362">
        <v>42642</v>
      </c>
      <c r="P574" s="362">
        <v>42642</v>
      </c>
    </row>
    <row r="575" spans="1:16" ht="14.25">
      <c r="A575" s="356">
        <v>2016</v>
      </c>
      <c r="B575" s="357" t="s">
        <v>476</v>
      </c>
      <c r="C575" s="357" t="s">
        <v>477</v>
      </c>
      <c r="D575" s="358">
        <v>1021011</v>
      </c>
      <c r="E575" s="358">
        <v>1</v>
      </c>
      <c r="F575" s="358"/>
      <c r="G575" s="358">
        <v>910</v>
      </c>
      <c r="H575" s="358" t="s">
        <v>258</v>
      </c>
      <c r="I575" s="358"/>
      <c r="J575" s="358" t="s">
        <v>259</v>
      </c>
      <c r="K575" s="359" t="b">
        <f t="shared" si="22"/>
        <v>1</v>
      </c>
      <c r="L575" s="359">
        <v>1</v>
      </c>
      <c r="M575" s="360">
        <v>2017</v>
      </c>
      <c r="N575" s="361">
        <v>0</v>
      </c>
      <c r="O575" s="362">
        <v>42642</v>
      </c>
      <c r="P575" s="362">
        <v>42642</v>
      </c>
    </row>
    <row r="576" spans="1:16" ht="14.25">
      <c r="A576" s="356">
        <v>2016</v>
      </c>
      <c r="B576" s="357" t="s">
        <v>476</v>
      </c>
      <c r="C576" s="357" t="s">
        <v>477</v>
      </c>
      <c r="D576" s="358">
        <v>1021011</v>
      </c>
      <c r="E576" s="358">
        <v>1</v>
      </c>
      <c r="F576" s="358"/>
      <c r="G576" s="358">
        <v>910</v>
      </c>
      <c r="H576" s="358" t="s">
        <v>258</v>
      </c>
      <c r="I576" s="358"/>
      <c r="J576" s="358" t="s">
        <v>259</v>
      </c>
      <c r="K576" s="359" t="b">
        <f t="shared" si="22"/>
        <v>1</v>
      </c>
      <c r="L576" s="359">
        <v>2</v>
      </c>
      <c r="M576" s="360">
        <v>2018</v>
      </c>
      <c r="N576" s="361">
        <v>0</v>
      </c>
      <c r="O576" s="362">
        <v>42642</v>
      </c>
      <c r="P576" s="362">
        <v>42642</v>
      </c>
    </row>
    <row r="577" spans="1:16" ht="14.25">
      <c r="A577" s="356">
        <v>2016</v>
      </c>
      <c r="B577" s="357" t="s">
        <v>476</v>
      </c>
      <c r="C577" s="357" t="s">
        <v>477</v>
      </c>
      <c r="D577" s="358">
        <v>1021011</v>
      </c>
      <c r="E577" s="358">
        <v>1</v>
      </c>
      <c r="F577" s="358"/>
      <c r="G577" s="358">
        <v>910</v>
      </c>
      <c r="H577" s="358" t="s">
        <v>258</v>
      </c>
      <c r="I577" s="358"/>
      <c r="J577" s="358" t="s">
        <v>259</v>
      </c>
      <c r="K577" s="359" t="b">
        <f t="shared" si="22"/>
        <v>1</v>
      </c>
      <c r="L577" s="359">
        <v>0</v>
      </c>
      <c r="M577" s="360">
        <v>2016</v>
      </c>
      <c r="N577" s="361">
        <v>0</v>
      </c>
      <c r="O577" s="362">
        <v>42642</v>
      </c>
      <c r="P577" s="362">
        <v>42642</v>
      </c>
    </row>
    <row r="578" spans="1:16" ht="14.25">
      <c r="A578" s="356">
        <v>2016</v>
      </c>
      <c r="B578" s="357" t="s">
        <v>476</v>
      </c>
      <c r="C578" s="357" t="s">
        <v>477</v>
      </c>
      <c r="D578" s="358">
        <v>1021011</v>
      </c>
      <c r="E578" s="358">
        <v>1</v>
      </c>
      <c r="F578" s="358"/>
      <c r="G578" s="358">
        <v>910</v>
      </c>
      <c r="H578" s="358" t="s">
        <v>258</v>
      </c>
      <c r="I578" s="358"/>
      <c r="J578" s="358" t="s">
        <v>259</v>
      </c>
      <c r="K578" s="359" t="b">
        <f t="shared" si="22"/>
        <v>1</v>
      </c>
      <c r="L578" s="359">
        <v>4</v>
      </c>
      <c r="M578" s="360">
        <v>2020</v>
      </c>
      <c r="N578" s="361">
        <v>0</v>
      </c>
      <c r="O578" s="362">
        <v>42642</v>
      </c>
      <c r="P578" s="362">
        <v>42642</v>
      </c>
    </row>
    <row r="579" spans="1:16" ht="14.25">
      <c r="A579" s="356">
        <v>2016</v>
      </c>
      <c r="B579" s="357" t="s">
        <v>476</v>
      </c>
      <c r="C579" s="357" t="s">
        <v>477</v>
      </c>
      <c r="D579" s="358">
        <v>1021011</v>
      </c>
      <c r="E579" s="358">
        <v>1</v>
      </c>
      <c r="F579" s="358"/>
      <c r="G579" s="358">
        <v>910</v>
      </c>
      <c r="H579" s="358" t="s">
        <v>258</v>
      </c>
      <c r="I579" s="358"/>
      <c r="J579" s="358" t="s">
        <v>259</v>
      </c>
      <c r="K579" s="359" t="b">
        <f t="shared" si="22"/>
        <v>1</v>
      </c>
      <c r="L579" s="359">
        <v>5</v>
      </c>
      <c r="M579" s="360">
        <v>2021</v>
      </c>
      <c r="N579" s="361">
        <v>0</v>
      </c>
      <c r="O579" s="362">
        <v>42642</v>
      </c>
      <c r="P579" s="362">
        <v>42642</v>
      </c>
    </row>
    <row r="580" spans="1:16" ht="14.25">
      <c r="A580" s="356">
        <v>2016</v>
      </c>
      <c r="B580" s="357" t="s">
        <v>476</v>
      </c>
      <c r="C580" s="357" t="s">
        <v>477</v>
      </c>
      <c r="D580" s="358">
        <v>1021011</v>
      </c>
      <c r="E580" s="358">
        <v>1</v>
      </c>
      <c r="F580" s="358"/>
      <c r="G580" s="358">
        <v>140</v>
      </c>
      <c r="H580" s="358" t="s">
        <v>44</v>
      </c>
      <c r="I580" s="358"/>
      <c r="J580" s="358" t="s">
        <v>45</v>
      </c>
      <c r="K580" s="359" t="b">
        <f t="shared" si="22"/>
        <v>1</v>
      </c>
      <c r="L580" s="359">
        <v>2</v>
      </c>
      <c r="M580" s="360">
        <v>2018</v>
      </c>
      <c r="N580" s="361">
        <v>116000</v>
      </c>
      <c r="O580" s="362">
        <v>42642</v>
      </c>
      <c r="P580" s="362">
        <v>42642</v>
      </c>
    </row>
    <row r="581" spans="1:16" ht="14.25">
      <c r="A581" s="356">
        <v>2016</v>
      </c>
      <c r="B581" s="357" t="s">
        <v>476</v>
      </c>
      <c r="C581" s="357" t="s">
        <v>477</v>
      </c>
      <c r="D581" s="358">
        <v>1021011</v>
      </c>
      <c r="E581" s="358">
        <v>1</v>
      </c>
      <c r="F581" s="358"/>
      <c r="G581" s="358">
        <v>140</v>
      </c>
      <c r="H581" s="358" t="s">
        <v>44</v>
      </c>
      <c r="I581" s="358"/>
      <c r="J581" s="358" t="s">
        <v>45</v>
      </c>
      <c r="K581" s="359" t="b">
        <f t="shared" si="22"/>
        <v>1</v>
      </c>
      <c r="L581" s="359">
        <v>7</v>
      </c>
      <c r="M581" s="360">
        <v>2023</v>
      </c>
      <c r="N581" s="361">
        <v>126000</v>
      </c>
      <c r="O581" s="362">
        <v>42642</v>
      </c>
      <c r="P581" s="362">
        <v>42642</v>
      </c>
    </row>
    <row r="582" spans="1:16" ht="14.25">
      <c r="A582" s="356">
        <v>2016</v>
      </c>
      <c r="B582" s="357" t="s">
        <v>476</v>
      </c>
      <c r="C582" s="357" t="s">
        <v>477</v>
      </c>
      <c r="D582" s="358">
        <v>1021011</v>
      </c>
      <c r="E582" s="358">
        <v>1</v>
      </c>
      <c r="F582" s="358"/>
      <c r="G582" s="358">
        <v>140</v>
      </c>
      <c r="H582" s="358" t="s">
        <v>44</v>
      </c>
      <c r="I582" s="358"/>
      <c r="J582" s="358" t="s">
        <v>45</v>
      </c>
      <c r="K582" s="359" t="b">
        <f t="shared" si="22"/>
        <v>1</v>
      </c>
      <c r="L582" s="359">
        <v>0</v>
      </c>
      <c r="M582" s="360">
        <v>2016</v>
      </c>
      <c r="N582" s="361">
        <v>38500</v>
      </c>
      <c r="O582" s="362">
        <v>42642</v>
      </c>
      <c r="P582" s="362">
        <v>42642</v>
      </c>
    </row>
    <row r="583" spans="1:16" ht="14.25">
      <c r="A583" s="356">
        <v>2016</v>
      </c>
      <c r="B583" s="357" t="s">
        <v>476</v>
      </c>
      <c r="C583" s="357" t="s">
        <v>477</v>
      </c>
      <c r="D583" s="358">
        <v>1021011</v>
      </c>
      <c r="E583" s="358">
        <v>1</v>
      </c>
      <c r="F583" s="358"/>
      <c r="G583" s="358">
        <v>140</v>
      </c>
      <c r="H583" s="358" t="s">
        <v>44</v>
      </c>
      <c r="I583" s="358"/>
      <c r="J583" s="358" t="s">
        <v>45</v>
      </c>
      <c r="K583" s="359" t="b">
        <f t="shared" si="22"/>
        <v>1</v>
      </c>
      <c r="L583" s="359">
        <v>3</v>
      </c>
      <c r="M583" s="360">
        <v>2019</v>
      </c>
      <c r="N583" s="361">
        <v>117000</v>
      </c>
      <c r="O583" s="362">
        <v>42642</v>
      </c>
      <c r="P583" s="362">
        <v>42642</v>
      </c>
    </row>
    <row r="584" spans="1:16" ht="14.25">
      <c r="A584" s="356">
        <v>2016</v>
      </c>
      <c r="B584" s="357" t="s">
        <v>476</v>
      </c>
      <c r="C584" s="357" t="s">
        <v>477</v>
      </c>
      <c r="D584" s="358">
        <v>1021011</v>
      </c>
      <c r="E584" s="358">
        <v>1</v>
      </c>
      <c r="F584" s="358"/>
      <c r="G584" s="358">
        <v>140</v>
      </c>
      <c r="H584" s="358" t="s">
        <v>44</v>
      </c>
      <c r="I584" s="358"/>
      <c r="J584" s="358" t="s">
        <v>45</v>
      </c>
      <c r="K584" s="359" t="b">
        <f t="shared" si="22"/>
        <v>1</v>
      </c>
      <c r="L584" s="359">
        <v>8</v>
      </c>
      <c r="M584" s="360">
        <v>2024</v>
      </c>
      <c r="N584" s="361">
        <v>128000</v>
      </c>
      <c r="O584" s="362">
        <v>42642</v>
      </c>
      <c r="P584" s="362">
        <v>42642</v>
      </c>
    </row>
    <row r="585" spans="1:16" ht="14.25">
      <c r="A585" s="356">
        <v>2016</v>
      </c>
      <c r="B585" s="357" t="s">
        <v>476</v>
      </c>
      <c r="C585" s="357" t="s">
        <v>477</v>
      </c>
      <c r="D585" s="358">
        <v>1021011</v>
      </c>
      <c r="E585" s="358">
        <v>1</v>
      </c>
      <c r="F585" s="358"/>
      <c r="G585" s="358">
        <v>140</v>
      </c>
      <c r="H585" s="358" t="s">
        <v>44</v>
      </c>
      <c r="I585" s="358"/>
      <c r="J585" s="358" t="s">
        <v>45</v>
      </c>
      <c r="K585" s="359" t="b">
        <f t="shared" si="22"/>
        <v>1</v>
      </c>
      <c r="L585" s="359">
        <v>4</v>
      </c>
      <c r="M585" s="360">
        <v>2020</v>
      </c>
      <c r="N585" s="361">
        <v>119000</v>
      </c>
      <c r="O585" s="362">
        <v>42642</v>
      </c>
      <c r="P585" s="362">
        <v>42642</v>
      </c>
    </row>
    <row r="586" spans="1:16" ht="14.25">
      <c r="A586" s="356">
        <v>2016</v>
      </c>
      <c r="B586" s="357" t="s">
        <v>476</v>
      </c>
      <c r="C586" s="357" t="s">
        <v>477</v>
      </c>
      <c r="D586" s="358">
        <v>1021011</v>
      </c>
      <c r="E586" s="358">
        <v>1</v>
      </c>
      <c r="F586" s="358"/>
      <c r="G586" s="358">
        <v>140</v>
      </c>
      <c r="H586" s="358" t="s">
        <v>44</v>
      </c>
      <c r="I586" s="358"/>
      <c r="J586" s="358" t="s">
        <v>45</v>
      </c>
      <c r="K586" s="359" t="b">
        <f t="shared" si="22"/>
        <v>1</v>
      </c>
      <c r="L586" s="359">
        <v>6</v>
      </c>
      <c r="M586" s="360">
        <v>2022</v>
      </c>
      <c r="N586" s="361">
        <v>123000</v>
      </c>
      <c r="O586" s="362">
        <v>42642</v>
      </c>
      <c r="P586" s="362">
        <v>42642</v>
      </c>
    </row>
    <row r="587" spans="1:16" ht="14.25">
      <c r="A587" s="356">
        <v>2016</v>
      </c>
      <c r="B587" s="357" t="s">
        <v>476</v>
      </c>
      <c r="C587" s="357" t="s">
        <v>477</v>
      </c>
      <c r="D587" s="358">
        <v>1021011</v>
      </c>
      <c r="E587" s="358">
        <v>1</v>
      </c>
      <c r="F587" s="358"/>
      <c r="G587" s="358">
        <v>140</v>
      </c>
      <c r="H587" s="358" t="s">
        <v>44</v>
      </c>
      <c r="I587" s="358"/>
      <c r="J587" s="358" t="s">
        <v>45</v>
      </c>
      <c r="K587" s="359" t="b">
        <f t="shared" si="22"/>
        <v>1</v>
      </c>
      <c r="L587" s="359">
        <v>5</v>
      </c>
      <c r="M587" s="360">
        <v>2021</v>
      </c>
      <c r="N587" s="361">
        <v>121000</v>
      </c>
      <c r="O587" s="362">
        <v>42642</v>
      </c>
      <c r="P587" s="362">
        <v>42642</v>
      </c>
    </row>
    <row r="588" spans="1:16" ht="14.25">
      <c r="A588" s="356">
        <v>2016</v>
      </c>
      <c r="B588" s="357" t="s">
        <v>476</v>
      </c>
      <c r="C588" s="357" t="s">
        <v>477</v>
      </c>
      <c r="D588" s="358">
        <v>1021011</v>
      </c>
      <c r="E588" s="358">
        <v>1</v>
      </c>
      <c r="F588" s="358"/>
      <c r="G588" s="358">
        <v>140</v>
      </c>
      <c r="H588" s="358" t="s">
        <v>44</v>
      </c>
      <c r="I588" s="358"/>
      <c r="J588" s="358" t="s">
        <v>45</v>
      </c>
      <c r="K588" s="359" t="b">
        <f t="shared" si="22"/>
        <v>1</v>
      </c>
      <c r="L588" s="359">
        <v>1</v>
      </c>
      <c r="M588" s="360">
        <v>2017</v>
      </c>
      <c r="N588" s="361">
        <v>114000</v>
      </c>
      <c r="O588" s="362">
        <v>42642</v>
      </c>
      <c r="P588" s="362">
        <v>42642</v>
      </c>
    </row>
    <row r="589" spans="1:16" ht="14.25">
      <c r="A589" s="356">
        <v>2016</v>
      </c>
      <c r="B589" s="357" t="s">
        <v>476</v>
      </c>
      <c r="C589" s="357" t="s">
        <v>477</v>
      </c>
      <c r="D589" s="358">
        <v>1021011</v>
      </c>
      <c r="E589" s="358">
        <v>1</v>
      </c>
      <c r="F589" s="358"/>
      <c r="G589" s="358">
        <v>990</v>
      </c>
      <c r="H589" s="358">
        <v>16</v>
      </c>
      <c r="I589" s="358"/>
      <c r="J589" s="358" t="s">
        <v>481</v>
      </c>
      <c r="K589" s="359" t="b">
        <f t="shared" si="22"/>
        <v>1</v>
      </c>
      <c r="L589" s="359">
        <v>2</v>
      </c>
      <c r="M589" s="360">
        <v>2018</v>
      </c>
      <c r="N589" s="361">
        <v>0</v>
      </c>
      <c r="O589" s="362">
        <v>42642</v>
      </c>
      <c r="P589" s="362">
        <v>42642</v>
      </c>
    </row>
    <row r="590" spans="1:16" ht="14.25">
      <c r="A590" s="356">
        <v>2016</v>
      </c>
      <c r="B590" s="357" t="s">
        <v>476</v>
      </c>
      <c r="C590" s="357" t="s">
        <v>477</v>
      </c>
      <c r="D590" s="358">
        <v>1021011</v>
      </c>
      <c r="E590" s="358">
        <v>1</v>
      </c>
      <c r="F590" s="358"/>
      <c r="G590" s="358">
        <v>990</v>
      </c>
      <c r="H590" s="358">
        <v>16</v>
      </c>
      <c r="I590" s="358"/>
      <c r="J590" s="358" t="s">
        <v>481</v>
      </c>
      <c r="K590" s="359" t="b">
        <f t="shared" si="22"/>
        <v>1</v>
      </c>
      <c r="L590" s="359">
        <v>8</v>
      </c>
      <c r="M590" s="360">
        <v>2024</v>
      </c>
      <c r="N590" s="361">
        <v>0</v>
      </c>
      <c r="O590" s="362">
        <v>42642</v>
      </c>
      <c r="P590" s="362">
        <v>42642</v>
      </c>
    </row>
    <row r="591" spans="1:16" ht="14.25">
      <c r="A591" s="356">
        <v>2016</v>
      </c>
      <c r="B591" s="357" t="s">
        <v>476</v>
      </c>
      <c r="C591" s="357" t="s">
        <v>477</v>
      </c>
      <c r="D591" s="358">
        <v>1021011</v>
      </c>
      <c r="E591" s="358">
        <v>1</v>
      </c>
      <c r="F591" s="358"/>
      <c r="G591" s="358">
        <v>990</v>
      </c>
      <c r="H591" s="358">
        <v>16</v>
      </c>
      <c r="I591" s="358"/>
      <c r="J591" s="358" t="s">
        <v>481</v>
      </c>
      <c r="K591" s="359" t="b">
        <f t="shared" si="22"/>
        <v>1</v>
      </c>
      <c r="L591" s="359">
        <v>0</v>
      </c>
      <c r="M591" s="360">
        <v>2016</v>
      </c>
      <c r="N591" s="361">
        <v>0</v>
      </c>
      <c r="O591" s="362">
        <v>42642</v>
      </c>
      <c r="P591" s="362">
        <v>42642</v>
      </c>
    </row>
    <row r="592" spans="1:16" ht="14.25">
      <c r="A592" s="356">
        <v>2016</v>
      </c>
      <c r="B592" s="357" t="s">
        <v>476</v>
      </c>
      <c r="C592" s="357" t="s">
        <v>477</v>
      </c>
      <c r="D592" s="358">
        <v>1021011</v>
      </c>
      <c r="E592" s="358">
        <v>1</v>
      </c>
      <c r="F592" s="358"/>
      <c r="G592" s="358">
        <v>990</v>
      </c>
      <c r="H592" s="358">
        <v>16</v>
      </c>
      <c r="I592" s="358"/>
      <c r="J592" s="358" t="s">
        <v>481</v>
      </c>
      <c r="K592" s="359" t="b">
        <f t="shared" si="22"/>
        <v>1</v>
      </c>
      <c r="L592" s="359">
        <v>7</v>
      </c>
      <c r="M592" s="360">
        <v>2023</v>
      </c>
      <c r="N592" s="361">
        <v>0</v>
      </c>
      <c r="O592" s="362">
        <v>42642</v>
      </c>
      <c r="P592" s="362">
        <v>42642</v>
      </c>
    </row>
    <row r="593" spans="1:16" ht="14.25">
      <c r="A593" s="356">
        <v>2016</v>
      </c>
      <c r="B593" s="357" t="s">
        <v>476</v>
      </c>
      <c r="C593" s="357" t="s">
        <v>477</v>
      </c>
      <c r="D593" s="358">
        <v>1021011</v>
      </c>
      <c r="E593" s="358">
        <v>1</v>
      </c>
      <c r="F593" s="358"/>
      <c r="G593" s="358">
        <v>990</v>
      </c>
      <c r="H593" s="358">
        <v>16</v>
      </c>
      <c r="I593" s="358"/>
      <c r="J593" s="358" t="s">
        <v>481</v>
      </c>
      <c r="K593" s="359" t="b">
        <f t="shared" si="22"/>
        <v>1</v>
      </c>
      <c r="L593" s="359">
        <v>6</v>
      </c>
      <c r="M593" s="360">
        <v>2022</v>
      </c>
      <c r="N593" s="361">
        <v>0</v>
      </c>
      <c r="O593" s="362">
        <v>42642</v>
      </c>
      <c r="P593" s="362">
        <v>42642</v>
      </c>
    </row>
    <row r="594" spans="1:16" ht="14.25">
      <c r="A594" s="356">
        <v>2016</v>
      </c>
      <c r="B594" s="357" t="s">
        <v>476</v>
      </c>
      <c r="C594" s="357" t="s">
        <v>477</v>
      </c>
      <c r="D594" s="358">
        <v>1021011</v>
      </c>
      <c r="E594" s="358">
        <v>1</v>
      </c>
      <c r="F594" s="358"/>
      <c r="G594" s="358">
        <v>990</v>
      </c>
      <c r="H594" s="358">
        <v>16</v>
      </c>
      <c r="I594" s="358"/>
      <c r="J594" s="358" t="s">
        <v>481</v>
      </c>
      <c r="K594" s="359" t="b">
        <f t="shared" si="22"/>
        <v>1</v>
      </c>
      <c r="L594" s="359">
        <v>4</v>
      </c>
      <c r="M594" s="360">
        <v>2020</v>
      </c>
      <c r="N594" s="361">
        <v>0</v>
      </c>
      <c r="O594" s="362">
        <v>42642</v>
      </c>
      <c r="P594" s="362">
        <v>42642</v>
      </c>
    </row>
    <row r="595" spans="1:16" ht="14.25">
      <c r="A595" s="356">
        <v>2016</v>
      </c>
      <c r="B595" s="357" t="s">
        <v>476</v>
      </c>
      <c r="C595" s="357" t="s">
        <v>477</v>
      </c>
      <c r="D595" s="358">
        <v>1021011</v>
      </c>
      <c r="E595" s="358">
        <v>1</v>
      </c>
      <c r="F595" s="358"/>
      <c r="G595" s="358">
        <v>990</v>
      </c>
      <c r="H595" s="358">
        <v>16</v>
      </c>
      <c r="I595" s="358"/>
      <c r="J595" s="358" t="s">
        <v>481</v>
      </c>
      <c r="K595" s="359" t="b">
        <f t="shared" si="22"/>
        <v>1</v>
      </c>
      <c r="L595" s="359">
        <v>5</v>
      </c>
      <c r="M595" s="360">
        <v>2021</v>
      </c>
      <c r="N595" s="361">
        <v>0</v>
      </c>
      <c r="O595" s="362">
        <v>42642</v>
      </c>
      <c r="P595" s="362">
        <v>42642</v>
      </c>
    </row>
    <row r="596" spans="1:16" ht="14.25">
      <c r="A596" s="356">
        <v>2016</v>
      </c>
      <c r="B596" s="357" t="s">
        <v>476</v>
      </c>
      <c r="C596" s="357" t="s">
        <v>477</v>
      </c>
      <c r="D596" s="358">
        <v>1021011</v>
      </c>
      <c r="E596" s="358">
        <v>1</v>
      </c>
      <c r="F596" s="358"/>
      <c r="G596" s="358">
        <v>990</v>
      </c>
      <c r="H596" s="358">
        <v>16</v>
      </c>
      <c r="I596" s="358"/>
      <c r="J596" s="358" t="s">
        <v>481</v>
      </c>
      <c r="K596" s="359" t="b">
        <f t="shared" si="22"/>
        <v>1</v>
      </c>
      <c r="L596" s="359">
        <v>3</v>
      </c>
      <c r="M596" s="360">
        <v>2019</v>
      </c>
      <c r="N596" s="361">
        <v>0</v>
      </c>
      <c r="O596" s="362">
        <v>42642</v>
      </c>
      <c r="P596" s="362">
        <v>42642</v>
      </c>
    </row>
    <row r="597" spans="1:16" ht="14.25">
      <c r="A597" s="356">
        <v>2016</v>
      </c>
      <c r="B597" s="357" t="s">
        <v>476</v>
      </c>
      <c r="C597" s="357" t="s">
        <v>477</v>
      </c>
      <c r="D597" s="358">
        <v>1021011</v>
      </c>
      <c r="E597" s="358">
        <v>1</v>
      </c>
      <c r="F597" s="358"/>
      <c r="G597" s="358">
        <v>990</v>
      </c>
      <c r="H597" s="358">
        <v>16</v>
      </c>
      <c r="I597" s="358"/>
      <c r="J597" s="358" t="s">
        <v>481</v>
      </c>
      <c r="K597" s="359" t="b">
        <f t="shared" si="22"/>
        <v>1</v>
      </c>
      <c r="L597" s="359">
        <v>1</v>
      </c>
      <c r="M597" s="360">
        <v>2017</v>
      </c>
      <c r="N597" s="361">
        <v>0</v>
      </c>
      <c r="O597" s="362">
        <v>42642</v>
      </c>
      <c r="P597" s="362">
        <v>42642</v>
      </c>
    </row>
    <row r="598" spans="1:16" ht="14.25">
      <c r="A598" s="356">
        <v>2016</v>
      </c>
      <c r="B598" s="357" t="s">
        <v>476</v>
      </c>
      <c r="C598" s="357" t="s">
        <v>477</v>
      </c>
      <c r="D598" s="358">
        <v>1021011</v>
      </c>
      <c r="E598" s="358">
        <v>1</v>
      </c>
      <c r="F598" s="358"/>
      <c r="G598" s="358">
        <v>334</v>
      </c>
      <c r="H598" s="358" t="s">
        <v>98</v>
      </c>
      <c r="I598" s="358"/>
      <c r="J598" s="358" t="s">
        <v>99</v>
      </c>
      <c r="K598" s="359" t="b">
        <f t="shared" si="22"/>
        <v>1</v>
      </c>
      <c r="L598" s="359">
        <v>3</v>
      </c>
      <c r="M598" s="360">
        <v>2019</v>
      </c>
      <c r="N598" s="361">
        <v>0</v>
      </c>
      <c r="O598" s="362">
        <v>42642</v>
      </c>
      <c r="P598" s="362">
        <v>42642</v>
      </c>
    </row>
    <row r="599" spans="1:16" ht="14.25">
      <c r="A599" s="356">
        <v>2016</v>
      </c>
      <c r="B599" s="357" t="s">
        <v>476</v>
      </c>
      <c r="C599" s="357" t="s">
        <v>477</v>
      </c>
      <c r="D599" s="358">
        <v>1021011</v>
      </c>
      <c r="E599" s="358">
        <v>1</v>
      </c>
      <c r="F599" s="358"/>
      <c r="G599" s="358">
        <v>334</v>
      </c>
      <c r="H599" s="358" t="s">
        <v>98</v>
      </c>
      <c r="I599" s="358"/>
      <c r="J599" s="358" t="s">
        <v>99</v>
      </c>
      <c r="K599" s="359" t="b">
        <f t="shared" si="22"/>
        <v>1</v>
      </c>
      <c r="L599" s="359">
        <v>8</v>
      </c>
      <c r="M599" s="360">
        <v>2024</v>
      </c>
      <c r="N599" s="361">
        <v>0</v>
      </c>
      <c r="O599" s="362">
        <v>42642</v>
      </c>
      <c r="P599" s="362">
        <v>42642</v>
      </c>
    </row>
    <row r="600" spans="1:16" ht="14.25">
      <c r="A600" s="356">
        <v>2016</v>
      </c>
      <c r="B600" s="357" t="s">
        <v>476</v>
      </c>
      <c r="C600" s="357" t="s">
        <v>477</v>
      </c>
      <c r="D600" s="358">
        <v>1021011</v>
      </c>
      <c r="E600" s="358">
        <v>1</v>
      </c>
      <c r="F600" s="358"/>
      <c r="G600" s="358">
        <v>334</v>
      </c>
      <c r="H600" s="358" t="s">
        <v>98</v>
      </c>
      <c r="I600" s="358"/>
      <c r="J600" s="358" t="s">
        <v>99</v>
      </c>
      <c r="K600" s="359" t="b">
        <f t="shared" si="22"/>
        <v>1</v>
      </c>
      <c r="L600" s="359">
        <v>6</v>
      </c>
      <c r="M600" s="360">
        <v>2022</v>
      </c>
      <c r="N600" s="361">
        <v>0</v>
      </c>
      <c r="O600" s="362">
        <v>42642</v>
      </c>
      <c r="P600" s="362">
        <v>42642</v>
      </c>
    </row>
    <row r="601" spans="1:16" ht="14.25">
      <c r="A601" s="356">
        <v>2016</v>
      </c>
      <c r="B601" s="357" t="s">
        <v>476</v>
      </c>
      <c r="C601" s="357" t="s">
        <v>477</v>
      </c>
      <c r="D601" s="358">
        <v>1021011</v>
      </c>
      <c r="E601" s="358">
        <v>1</v>
      </c>
      <c r="F601" s="358"/>
      <c r="G601" s="358">
        <v>334</v>
      </c>
      <c r="H601" s="358" t="s">
        <v>98</v>
      </c>
      <c r="I601" s="358"/>
      <c r="J601" s="358" t="s">
        <v>99</v>
      </c>
      <c r="K601" s="359" t="b">
        <f t="shared" si="22"/>
        <v>1</v>
      </c>
      <c r="L601" s="359">
        <v>2</v>
      </c>
      <c r="M601" s="360">
        <v>2018</v>
      </c>
      <c r="N601" s="361">
        <v>0</v>
      </c>
      <c r="O601" s="362">
        <v>42642</v>
      </c>
      <c r="P601" s="362">
        <v>42642</v>
      </c>
    </row>
    <row r="602" spans="1:16" ht="14.25">
      <c r="A602" s="356">
        <v>2016</v>
      </c>
      <c r="B602" s="357" t="s">
        <v>476</v>
      </c>
      <c r="C602" s="357" t="s">
        <v>477</v>
      </c>
      <c r="D602" s="358">
        <v>1021011</v>
      </c>
      <c r="E602" s="358">
        <v>1</v>
      </c>
      <c r="F602" s="358"/>
      <c r="G602" s="358">
        <v>334</v>
      </c>
      <c r="H602" s="358" t="s">
        <v>98</v>
      </c>
      <c r="I602" s="358"/>
      <c r="J602" s="358" t="s">
        <v>99</v>
      </c>
      <c r="K602" s="359" t="b">
        <f t="shared" si="22"/>
        <v>1</v>
      </c>
      <c r="L602" s="359">
        <v>4</v>
      </c>
      <c r="M602" s="360">
        <v>2020</v>
      </c>
      <c r="N602" s="361">
        <v>0</v>
      </c>
      <c r="O602" s="362">
        <v>42642</v>
      </c>
      <c r="P602" s="362">
        <v>42642</v>
      </c>
    </row>
    <row r="603" spans="1:16" ht="14.25">
      <c r="A603" s="356">
        <v>2016</v>
      </c>
      <c r="B603" s="357" t="s">
        <v>476</v>
      </c>
      <c r="C603" s="357" t="s">
        <v>477</v>
      </c>
      <c r="D603" s="358">
        <v>1021011</v>
      </c>
      <c r="E603" s="358">
        <v>1</v>
      </c>
      <c r="F603" s="358"/>
      <c r="G603" s="358">
        <v>334</v>
      </c>
      <c r="H603" s="358" t="s">
        <v>98</v>
      </c>
      <c r="I603" s="358"/>
      <c r="J603" s="358" t="s">
        <v>99</v>
      </c>
      <c r="K603" s="359" t="b">
        <f t="shared" si="22"/>
        <v>1</v>
      </c>
      <c r="L603" s="359">
        <v>0</v>
      </c>
      <c r="M603" s="360">
        <v>2016</v>
      </c>
      <c r="N603" s="361">
        <v>0</v>
      </c>
      <c r="O603" s="362">
        <v>42642</v>
      </c>
      <c r="P603" s="362">
        <v>42642</v>
      </c>
    </row>
    <row r="604" spans="1:16" ht="14.25">
      <c r="A604" s="356">
        <v>2016</v>
      </c>
      <c r="B604" s="357" t="s">
        <v>476</v>
      </c>
      <c r="C604" s="357" t="s">
        <v>477</v>
      </c>
      <c r="D604" s="358">
        <v>1021011</v>
      </c>
      <c r="E604" s="358">
        <v>1</v>
      </c>
      <c r="F604" s="358"/>
      <c r="G604" s="358">
        <v>334</v>
      </c>
      <c r="H604" s="358" t="s">
        <v>98</v>
      </c>
      <c r="I604" s="358"/>
      <c r="J604" s="358" t="s">
        <v>99</v>
      </c>
      <c r="K604" s="359" t="b">
        <f t="shared" si="22"/>
        <v>1</v>
      </c>
      <c r="L604" s="359">
        <v>7</v>
      </c>
      <c r="M604" s="360">
        <v>2023</v>
      </c>
      <c r="N604" s="361">
        <v>0</v>
      </c>
      <c r="O604" s="362">
        <v>42642</v>
      </c>
      <c r="P604" s="362">
        <v>42642</v>
      </c>
    </row>
    <row r="605" spans="1:16" ht="14.25">
      <c r="A605" s="356">
        <v>2016</v>
      </c>
      <c r="B605" s="357" t="s">
        <v>476</v>
      </c>
      <c r="C605" s="357" t="s">
        <v>477</v>
      </c>
      <c r="D605" s="358">
        <v>1021011</v>
      </c>
      <c r="E605" s="358">
        <v>1</v>
      </c>
      <c r="F605" s="358"/>
      <c r="G605" s="358">
        <v>334</v>
      </c>
      <c r="H605" s="358" t="s">
        <v>98</v>
      </c>
      <c r="I605" s="358"/>
      <c r="J605" s="358" t="s">
        <v>99</v>
      </c>
      <c r="K605" s="359" t="b">
        <f t="shared" si="22"/>
        <v>1</v>
      </c>
      <c r="L605" s="359">
        <v>5</v>
      </c>
      <c r="M605" s="360">
        <v>2021</v>
      </c>
      <c r="N605" s="361">
        <v>0</v>
      </c>
      <c r="O605" s="362">
        <v>42642</v>
      </c>
      <c r="P605" s="362">
        <v>42642</v>
      </c>
    </row>
    <row r="606" spans="1:16" ht="14.25">
      <c r="A606" s="356">
        <v>2016</v>
      </c>
      <c r="B606" s="357" t="s">
        <v>476</v>
      </c>
      <c r="C606" s="357" t="s">
        <v>477</v>
      </c>
      <c r="D606" s="358">
        <v>1021011</v>
      </c>
      <c r="E606" s="358">
        <v>1</v>
      </c>
      <c r="F606" s="358"/>
      <c r="G606" s="358">
        <v>334</v>
      </c>
      <c r="H606" s="358" t="s">
        <v>98</v>
      </c>
      <c r="I606" s="358"/>
      <c r="J606" s="358" t="s">
        <v>99</v>
      </c>
      <c r="K606" s="359" t="b">
        <f t="shared" si="22"/>
        <v>1</v>
      </c>
      <c r="L606" s="359">
        <v>1</v>
      </c>
      <c r="M606" s="360">
        <v>2017</v>
      </c>
      <c r="N606" s="361">
        <v>0</v>
      </c>
      <c r="O606" s="362">
        <v>42642</v>
      </c>
      <c r="P606" s="362">
        <v>42642</v>
      </c>
    </row>
    <row r="607" spans="1:16" ht="14.25">
      <c r="A607" s="356">
        <v>2016</v>
      </c>
      <c r="B607" s="357" t="s">
        <v>476</v>
      </c>
      <c r="C607" s="357" t="s">
        <v>477</v>
      </c>
      <c r="D607" s="358">
        <v>1021011</v>
      </c>
      <c r="E607" s="358">
        <v>1</v>
      </c>
      <c r="F607" s="358"/>
      <c r="G607" s="358">
        <v>762</v>
      </c>
      <c r="H607" s="358" t="s">
        <v>205</v>
      </c>
      <c r="I607" s="358"/>
      <c r="J607" s="358" t="s">
        <v>206</v>
      </c>
      <c r="K607" s="359" t="b">
        <f t="shared" si="22"/>
        <v>1</v>
      </c>
      <c r="L607" s="359">
        <v>8</v>
      </c>
      <c r="M607" s="360">
        <v>2024</v>
      </c>
      <c r="N607" s="361">
        <v>0</v>
      </c>
      <c r="O607" s="362">
        <v>42642</v>
      </c>
      <c r="P607" s="362">
        <v>42642</v>
      </c>
    </row>
    <row r="608" spans="1:16" ht="14.25">
      <c r="A608" s="356">
        <v>2016</v>
      </c>
      <c r="B608" s="357" t="s">
        <v>476</v>
      </c>
      <c r="C608" s="357" t="s">
        <v>477</v>
      </c>
      <c r="D608" s="358">
        <v>1021011</v>
      </c>
      <c r="E608" s="358">
        <v>1</v>
      </c>
      <c r="F608" s="358"/>
      <c r="G608" s="358">
        <v>762</v>
      </c>
      <c r="H608" s="358" t="s">
        <v>205</v>
      </c>
      <c r="I608" s="358"/>
      <c r="J608" s="358" t="s">
        <v>206</v>
      </c>
      <c r="K608" s="359" t="b">
        <f t="shared" si="22"/>
        <v>1</v>
      </c>
      <c r="L608" s="359">
        <v>7</v>
      </c>
      <c r="M608" s="360">
        <v>2023</v>
      </c>
      <c r="N608" s="361">
        <v>0</v>
      </c>
      <c r="O608" s="362">
        <v>42642</v>
      </c>
      <c r="P608" s="362">
        <v>42642</v>
      </c>
    </row>
    <row r="609" spans="1:16" ht="14.25">
      <c r="A609" s="356">
        <v>2016</v>
      </c>
      <c r="B609" s="357" t="s">
        <v>476</v>
      </c>
      <c r="C609" s="357" t="s">
        <v>477</v>
      </c>
      <c r="D609" s="358">
        <v>1021011</v>
      </c>
      <c r="E609" s="358">
        <v>1</v>
      </c>
      <c r="F609" s="358"/>
      <c r="G609" s="358">
        <v>762</v>
      </c>
      <c r="H609" s="358" t="s">
        <v>205</v>
      </c>
      <c r="I609" s="358"/>
      <c r="J609" s="358" t="s">
        <v>206</v>
      </c>
      <c r="K609" s="359" t="b">
        <f t="shared" si="22"/>
        <v>1</v>
      </c>
      <c r="L609" s="359">
        <v>3</v>
      </c>
      <c r="M609" s="360">
        <v>2019</v>
      </c>
      <c r="N609" s="361">
        <v>0</v>
      </c>
      <c r="O609" s="362">
        <v>42642</v>
      </c>
      <c r="P609" s="362">
        <v>42642</v>
      </c>
    </row>
    <row r="610" spans="1:16" ht="14.25">
      <c r="A610" s="356">
        <v>2016</v>
      </c>
      <c r="B610" s="357" t="s">
        <v>476</v>
      </c>
      <c r="C610" s="357" t="s">
        <v>477</v>
      </c>
      <c r="D610" s="358">
        <v>1021011</v>
      </c>
      <c r="E610" s="358">
        <v>1</v>
      </c>
      <c r="F610" s="358"/>
      <c r="G610" s="358">
        <v>762</v>
      </c>
      <c r="H610" s="358" t="s">
        <v>205</v>
      </c>
      <c r="I610" s="358"/>
      <c r="J610" s="358" t="s">
        <v>206</v>
      </c>
      <c r="K610" s="359" t="b">
        <f t="shared" si="22"/>
        <v>1</v>
      </c>
      <c r="L610" s="359">
        <v>0</v>
      </c>
      <c r="M610" s="360">
        <v>2016</v>
      </c>
      <c r="N610" s="361">
        <v>0</v>
      </c>
      <c r="O610" s="362">
        <v>42642</v>
      </c>
      <c r="P610" s="362">
        <v>42642</v>
      </c>
    </row>
    <row r="611" spans="1:16" ht="14.25">
      <c r="A611" s="356">
        <v>2016</v>
      </c>
      <c r="B611" s="357" t="s">
        <v>476</v>
      </c>
      <c r="C611" s="357" t="s">
        <v>477</v>
      </c>
      <c r="D611" s="358">
        <v>1021011</v>
      </c>
      <c r="E611" s="358">
        <v>1</v>
      </c>
      <c r="F611" s="358"/>
      <c r="G611" s="358">
        <v>762</v>
      </c>
      <c r="H611" s="358" t="s">
        <v>205</v>
      </c>
      <c r="I611" s="358"/>
      <c r="J611" s="358" t="s">
        <v>206</v>
      </c>
      <c r="K611" s="359" t="b">
        <f t="shared" si="22"/>
        <v>1</v>
      </c>
      <c r="L611" s="359">
        <v>1</v>
      </c>
      <c r="M611" s="360">
        <v>2017</v>
      </c>
      <c r="N611" s="361">
        <v>0</v>
      </c>
      <c r="O611" s="362">
        <v>42642</v>
      </c>
      <c r="P611" s="362">
        <v>42642</v>
      </c>
    </row>
    <row r="612" spans="1:16" ht="14.25">
      <c r="A612" s="356">
        <v>2016</v>
      </c>
      <c r="B612" s="357" t="s">
        <v>476</v>
      </c>
      <c r="C612" s="357" t="s">
        <v>477</v>
      </c>
      <c r="D612" s="358">
        <v>1021011</v>
      </c>
      <c r="E612" s="358">
        <v>1</v>
      </c>
      <c r="F612" s="358"/>
      <c r="G612" s="358">
        <v>762</v>
      </c>
      <c r="H612" s="358" t="s">
        <v>205</v>
      </c>
      <c r="I612" s="358"/>
      <c r="J612" s="358" t="s">
        <v>206</v>
      </c>
      <c r="K612" s="359" t="b">
        <f t="shared" si="22"/>
        <v>1</v>
      </c>
      <c r="L612" s="359">
        <v>2</v>
      </c>
      <c r="M612" s="360">
        <v>2018</v>
      </c>
      <c r="N612" s="361">
        <v>0</v>
      </c>
      <c r="O612" s="362">
        <v>42642</v>
      </c>
      <c r="P612" s="362">
        <v>42642</v>
      </c>
    </row>
    <row r="613" spans="1:16" ht="14.25">
      <c r="A613" s="356">
        <v>2016</v>
      </c>
      <c r="B613" s="357" t="s">
        <v>476</v>
      </c>
      <c r="C613" s="357" t="s">
        <v>477</v>
      </c>
      <c r="D613" s="358">
        <v>1021011</v>
      </c>
      <c r="E613" s="358">
        <v>1</v>
      </c>
      <c r="F613" s="358"/>
      <c r="G613" s="358">
        <v>762</v>
      </c>
      <c r="H613" s="358" t="s">
        <v>205</v>
      </c>
      <c r="I613" s="358"/>
      <c r="J613" s="358" t="s">
        <v>206</v>
      </c>
      <c r="K613" s="359" t="b">
        <f t="shared" si="22"/>
        <v>1</v>
      </c>
      <c r="L613" s="359">
        <v>4</v>
      </c>
      <c r="M613" s="360">
        <v>2020</v>
      </c>
      <c r="N613" s="361">
        <v>0</v>
      </c>
      <c r="O613" s="362">
        <v>42642</v>
      </c>
      <c r="P613" s="362">
        <v>42642</v>
      </c>
    </row>
    <row r="614" spans="1:16" ht="14.25">
      <c r="A614" s="356">
        <v>2016</v>
      </c>
      <c r="B614" s="357" t="s">
        <v>476</v>
      </c>
      <c r="C614" s="357" t="s">
        <v>477</v>
      </c>
      <c r="D614" s="358">
        <v>1021011</v>
      </c>
      <c r="E614" s="358">
        <v>1</v>
      </c>
      <c r="F614" s="358"/>
      <c r="G614" s="358">
        <v>762</v>
      </c>
      <c r="H614" s="358" t="s">
        <v>205</v>
      </c>
      <c r="I614" s="358"/>
      <c r="J614" s="358" t="s">
        <v>206</v>
      </c>
      <c r="K614" s="359" t="b">
        <f t="shared" si="22"/>
        <v>1</v>
      </c>
      <c r="L614" s="359">
        <v>6</v>
      </c>
      <c r="M614" s="360">
        <v>2022</v>
      </c>
      <c r="N614" s="361">
        <v>0</v>
      </c>
      <c r="O614" s="362">
        <v>42642</v>
      </c>
      <c r="P614" s="362">
        <v>42642</v>
      </c>
    </row>
    <row r="615" spans="1:16" ht="14.25">
      <c r="A615" s="356">
        <v>2016</v>
      </c>
      <c r="B615" s="357" t="s">
        <v>476</v>
      </c>
      <c r="C615" s="357" t="s">
        <v>477</v>
      </c>
      <c r="D615" s="358">
        <v>1021011</v>
      </c>
      <c r="E615" s="358">
        <v>1</v>
      </c>
      <c r="F615" s="358"/>
      <c r="G615" s="358">
        <v>762</v>
      </c>
      <c r="H615" s="358" t="s">
        <v>205</v>
      </c>
      <c r="I615" s="358"/>
      <c r="J615" s="358" t="s">
        <v>206</v>
      </c>
      <c r="K615" s="359" t="b">
        <f t="shared" si="22"/>
        <v>1</v>
      </c>
      <c r="L615" s="359">
        <v>5</v>
      </c>
      <c r="M615" s="360">
        <v>2021</v>
      </c>
      <c r="N615" s="361">
        <v>0</v>
      </c>
      <c r="O615" s="362">
        <v>42642</v>
      </c>
      <c r="P615" s="362">
        <v>42642</v>
      </c>
    </row>
    <row r="616" spans="1:16" ht="14.25">
      <c r="A616" s="356">
        <v>2016</v>
      </c>
      <c r="B616" s="357" t="s">
        <v>476</v>
      </c>
      <c r="C616" s="357" t="s">
        <v>477</v>
      </c>
      <c r="D616" s="358">
        <v>1021011</v>
      </c>
      <c r="E616" s="358">
        <v>1</v>
      </c>
      <c r="F616" s="358"/>
      <c r="G616" s="358">
        <v>690</v>
      </c>
      <c r="H616" s="358" t="s">
        <v>179</v>
      </c>
      <c r="I616" s="358"/>
      <c r="J616" s="358" t="s">
        <v>180</v>
      </c>
      <c r="K616" s="359" t="b">
        <f t="shared" si="22"/>
        <v>1</v>
      </c>
      <c r="L616" s="359">
        <v>1</v>
      </c>
      <c r="M616" s="360">
        <v>2017</v>
      </c>
      <c r="N616" s="361">
        <v>0</v>
      </c>
      <c r="O616" s="362">
        <v>42642</v>
      </c>
      <c r="P616" s="362">
        <v>42642</v>
      </c>
    </row>
    <row r="617" spans="1:16" ht="14.25">
      <c r="A617" s="356">
        <v>2016</v>
      </c>
      <c r="B617" s="357" t="s">
        <v>476</v>
      </c>
      <c r="C617" s="357" t="s">
        <v>477</v>
      </c>
      <c r="D617" s="358">
        <v>1021011</v>
      </c>
      <c r="E617" s="358">
        <v>1</v>
      </c>
      <c r="F617" s="358"/>
      <c r="G617" s="358">
        <v>690</v>
      </c>
      <c r="H617" s="358" t="s">
        <v>179</v>
      </c>
      <c r="I617" s="358"/>
      <c r="J617" s="358" t="s">
        <v>180</v>
      </c>
      <c r="K617" s="359" t="b">
        <f t="shared" si="22"/>
        <v>1</v>
      </c>
      <c r="L617" s="359">
        <v>2</v>
      </c>
      <c r="M617" s="360">
        <v>2018</v>
      </c>
      <c r="N617" s="361">
        <v>0</v>
      </c>
      <c r="O617" s="362">
        <v>42642</v>
      </c>
      <c r="P617" s="362">
        <v>42642</v>
      </c>
    </row>
    <row r="618" spans="1:16" ht="14.25">
      <c r="A618" s="356">
        <v>2016</v>
      </c>
      <c r="B618" s="357" t="s">
        <v>476</v>
      </c>
      <c r="C618" s="357" t="s">
        <v>477</v>
      </c>
      <c r="D618" s="358">
        <v>1021011</v>
      </c>
      <c r="E618" s="358">
        <v>1</v>
      </c>
      <c r="F618" s="358"/>
      <c r="G618" s="358">
        <v>690</v>
      </c>
      <c r="H618" s="358" t="s">
        <v>179</v>
      </c>
      <c r="I618" s="358"/>
      <c r="J618" s="358" t="s">
        <v>180</v>
      </c>
      <c r="K618" s="359" t="b">
        <f t="shared" si="22"/>
        <v>1</v>
      </c>
      <c r="L618" s="359">
        <v>0</v>
      </c>
      <c r="M618" s="360">
        <v>2016</v>
      </c>
      <c r="N618" s="361">
        <v>434833.41</v>
      </c>
      <c r="O618" s="362">
        <v>42642</v>
      </c>
      <c r="P618" s="362">
        <v>42642</v>
      </c>
    </row>
    <row r="619" spans="1:16" ht="14.25">
      <c r="A619" s="356">
        <v>2016</v>
      </c>
      <c r="B619" s="357" t="s">
        <v>476</v>
      </c>
      <c r="C619" s="357" t="s">
        <v>477</v>
      </c>
      <c r="D619" s="358">
        <v>1021011</v>
      </c>
      <c r="E619" s="358">
        <v>1</v>
      </c>
      <c r="F619" s="358"/>
      <c r="G619" s="358">
        <v>690</v>
      </c>
      <c r="H619" s="358" t="s">
        <v>179</v>
      </c>
      <c r="I619" s="358"/>
      <c r="J619" s="358" t="s">
        <v>180</v>
      </c>
      <c r="K619" s="359" t="b">
        <f t="shared" si="22"/>
        <v>1</v>
      </c>
      <c r="L619" s="359">
        <v>6</v>
      </c>
      <c r="M619" s="360">
        <v>2022</v>
      </c>
      <c r="N619" s="361">
        <v>0</v>
      </c>
      <c r="O619" s="362">
        <v>42642</v>
      </c>
      <c r="P619" s="362">
        <v>42642</v>
      </c>
    </row>
    <row r="620" spans="1:16" ht="14.25">
      <c r="A620" s="356">
        <v>2016</v>
      </c>
      <c r="B620" s="357" t="s">
        <v>476</v>
      </c>
      <c r="C620" s="357" t="s">
        <v>477</v>
      </c>
      <c r="D620" s="358">
        <v>1021011</v>
      </c>
      <c r="E620" s="358">
        <v>1</v>
      </c>
      <c r="F620" s="358"/>
      <c r="G620" s="358">
        <v>690</v>
      </c>
      <c r="H620" s="358" t="s">
        <v>179</v>
      </c>
      <c r="I620" s="358"/>
      <c r="J620" s="358" t="s">
        <v>180</v>
      </c>
      <c r="K620" s="359" t="b">
        <f t="shared" si="22"/>
        <v>1</v>
      </c>
      <c r="L620" s="359">
        <v>3</v>
      </c>
      <c r="M620" s="360">
        <v>2019</v>
      </c>
      <c r="N620" s="361">
        <v>0</v>
      </c>
      <c r="O620" s="362">
        <v>42642</v>
      </c>
      <c r="P620" s="362">
        <v>42642</v>
      </c>
    </row>
    <row r="621" spans="1:16" ht="14.25">
      <c r="A621" s="356">
        <v>2016</v>
      </c>
      <c r="B621" s="357" t="s">
        <v>476</v>
      </c>
      <c r="C621" s="357" t="s">
        <v>477</v>
      </c>
      <c r="D621" s="358">
        <v>1021011</v>
      </c>
      <c r="E621" s="358">
        <v>1</v>
      </c>
      <c r="F621" s="358"/>
      <c r="G621" s="358">
        <v>690</v>
      </c>
      <c r="H621" s="358" t="s">
        <v>179</v>
      </c>
      <c r="I621" s="358"/>
      <c r="J621" s="358" t="s">
        <v>180</v>
      </c>
      <c r="K621" s="359" t="b">
        <f t="shared" si="22"/>
        <v>1</v>
      </c>
      <c r="L621" s="359">
        <v>4</v>
      </c>
      <c r="M621" s="360">
        <v>2020</v>
      </c>
      <c r="N621" s="361">
        <v>0</v>
      </c>
      <c r="O621" s="362">
        <v>42642</v>
      </c>
      <c r="P621" s="362">
        <v>42642</v>
      </c>
    </row>
    <row r="622" spans="1:16" ht="14.25">
      <c r="A622" s="356">
        <v>2016</v>
      </c>
      <c r="B622" s="357" t="s">
        <v>476</v>
      </c>
      <c r="C622" s="357" t="s">
        <v>477</v>
      </c>
      <c r="D622" s="358">
        <v>1021011</v>
      </c>
      <c r="E622" s="358">
        <v>1</v>
      </c>
      <c r="F622" s="358"/>
      <c r="G622" s="358">
        <v>690</v>
      </c>
      <c r="H622" s="358" t="s">
        <v>179</v>
      </c>
      <c r="I622" s="358"/>
      <c r="J622" s="358" t="s">
        <v>180</v>
      </c>
      <c r="K622" s="359" t="b">
        <f t="shared" si="22"/>
        <v>1</v>
      </c>
      <c r="L622" s="359">
        <v>7</v>
      </c>
      <c r="M622" s="360">
        <v>2023</v>
      </c>
      <c r="N622" s="361">
        <v>0</v>
      </c>
      <c r="O622" s="362">
        <v>42642</v>
      </c>
      <c r="P622" s="362">
        <v>42642</v>
      </c>
    </row>
    <row r="623" spans="1:16" ht="14.25">
      <c r="A623" s="356">
        <v>2016</v>
      </c>
      <c r="B623" s="357" t="s">
        <v>476</v>
      </c>
      <c r="C623" s="357" t="s">
        <v>477</v>
      </c>
      <c r="D623" s="358">
        <v>1021011</v>
      </c>
      <c r="E623" s="358">
        <v>1</v>
      </c>
      <c r="F623" s="358"/>
      <c r="G623" s="358">
        <v>690</v>
      </c>
      <c r="H623" s="358" t="s">
        <v>179</v>
      </c>
      <c r="I623" s="358"/>
      <c r="J623" s="358" t="s">
        <v>180</v>
      </c>
      <c r="K623" s="359" t="b">
        <f t="shared" si="22"/>
        <v>1</v>
      </c>
      <c r="L623" s="359">
        <v>8</v>
      </c>
      <c r="M623" s="360">
        <v>2024</v>
      </c>
      <c r="N623" s="361">
        <v>0</v>
      </c>
      <c r="O623" s="362">
        <v>42642</v>
      </c>
      <c r="P623" s="362">
        <v>42642</v>
      </c>
    </row>
    <row r="624" spans="1:16" ht="14.25">
      <c r="A624" s="356">
        <v>2016</v>
      </c>
      <c r="B624" s="357" t="s">
        <v>476</v>
      </c>
      <c r="C624" s="357" t="s">
        <v>477</v>
      </c>
      <c r="D624" s="358">
        <v>1021011</v>
      </c>
      <c r="E624" s="358">
        <v>1</v>
      </c>
      <c r="F624" s="358"/>
      <c r="G624" s="358">
        <v>690</v>
      </c>
      <c r="H624" s="358" t="s">
        <v>179</v>
      </c>
      <c r="I624" s="358"/>
      <c r="J624" s="358" t="s">
        <v>180</v>
      </c>
      <c r="K624" s="359" t="b">
        <f t="shared" si="22"/>
        <v>1</v>
      </c>
      <c r="L624" s="359">
        <v>5</v>
      </c>
      <c r="M624" s="360">
        <v>2021</v>
      </c>
      <c r="N624" s="361">
        <v>0</v>
      </c>
      <c r="O624" s="362">
        <v>42642</v>
      </c>
      <c r="P624" s="362">
        <v>42642</v>
      </c>
    </row>
    <row r="625" spans="1:16" ht="14.25">
      <c r="A625" s="356">
        <v>2016</v>
      </c>
      <c r="B625" s="357" t="s">
        <v>476</v>
      </c>
      <c r="C625" s="357" t="s">
        <v>477</v>
      </c>
      <c r="D625" s="358">
        <v>1021011</v>
      </c>
      <c r="E625" s="358">
        <v>1</v>
      </c>
      <c r="F625" s="358"/>
      <c r="G625" s="358">
        <v>930</v>
      </c>
      <c r="H625" s="358" t="s">
        <v>264</v>
      </c>
      <c r="I625" s="358"/>
      <c r="J625" s="358" t="s">
        <v>265</v>
      </c>
      <c r="K625" s="359" t="b">
        <f t="shared" si="22"/>
        <v>1</v>
      </c>
      <c r="L625" s="359">
        <v>7</v>
      </c>
      <c r="M625" s="360">
        <v>2023</v>
      </c>
      <c r="N625" s="361">
        <v>0</v>
      </c>
      <c r="O625" s="362">
        <v>42642</v>
      </c>
      <c r="P625" s="362">
        <v>42642</v>
      </c>
    </row>
    <row r="626" spans="1:16" ht="14.25">
      <c r="A626" s="356">
        <v>2016</v>
      </c>
      <c r="B626" s="357" t="s">
        <v>476</v>
      </c>
      <c r="C626" s="357" t="s">
        <v>477</v>
      </c>
      <c r="D626" s="358">
        <v>1021011</v>
      </c>
      <c r="E626" s="358">
        <v>1</v>
      </c>
      <c r="F626" s="358"/>
      <c r="G626" s="358">
        <v>930</v>
      </c>
      <c r="H626" s="358" t="s">
        <v>264</v>
      </c>
      <c r="I626" s="358"/>
      <c r="J626" s="358" t="s">
        <v>265</v>
      </c>
      <c r="K626" s="359" t="b">
        <f t="shared" si="22"/>
        <v>1</v>
      </c>
      <c r="L626" s="359">
        <v>1</v>
      </c>
      <c r="M626" s="360">
        <v>2017</v>
      </c>
      <c r="N626" s="361">
        <v>0</v>
      </c>
      <c r="O626" s="362">
        <v>42642</v>
      </c>
      <c r="P626" s="362">
        <v>42642</v>
      </c>
    </row>
    <row r="627" spans="1:16" ht="14.25">
      <c r="A627" s="356">
        <v>2016</v>
      </c>
      <c r="B627" s="357" t="s">
        <v>476</v>
      </c>
      <c r="C627" s="357" t="s">
        <v>477</v>
      </c>
      <c r="D627" s="358">
        <v>1021011</v>
      </c>
      <c r="E627" s="358">
        <v>1</v>
      </c>
      <c r="F627" s="358"/>
      <c r="G627" s="358">
        <v>930</v>
      </c>
      <c r="H627" s="358" t="s">
        <v>264</v>
      </c>
      <c r="I627" s="358"/>
      <c r="J627" s="358" t="s">
        <v>265</v>
      </c>
      <c r="K627" s="359" t="b">
        <f t="shared" si="22"/>
        <v>1</v>
      </c>
      <c r="L627" s="359">
        <v>0</v>
      </c>
      <c r="M627" s="360">
        <v>2016</v>
      </c>
      <c r="N627" s="361">
        <v>0</v>
      </c>
      <c r="O627" s="362">
        <v>42642</v>
      </c>
      <c r="P627" s="362">
        <v>42642</v>
      </c>
    </row>
    <row r="628" spans="1:16" ht="14.25">
      <c r="A628" s="356">
        <v>2016</v>
      </c>
      <c r="B628" s="357" t="s">
        <v>476</v>
      </c>
      <c r="C628" s="357" t="s">
        <v>477</v>
      </c>
      <c r="D628" s="358">
        <v>1021011</v>
      </c>
      <c r="E628" s="358">
        <v>1</v>
      </c>
      <c r="F628" s="358"/>
      <c r="G628" s="358">
        <v>930</v>
      </c>
      <c r="H628" s="358" t="s">
        <v>264</v>
      </c>
      <c r="I628" s="358"/>
      <c r="J628" s="358" t="s">
        <v>265</v>
      </c>
      <c r="K628" s="359" t="b">
        <f t="shared" si="22"/>
        <v>1</v>
      </c>
      <c r="L628" s="359">
        <v>3</v>
      </c>
      <c r="M628" s="360">
        <v>2019</v>
      </c>
      <c r="N628" s="361">
        <v>0</v>
      </c>
      <c r="O628" s="362">
        <v>42642</v>
      </c>
      <c r="P628" s="362">
        <v>42642</v>
      </c>
    </row>
    <row r="629" spans="1:16" ht="14.25">
      <c r="A629" s="356">
        <v>2016</v>
      </c>
      <c r="B629" s="357" t="s">
        <v>476</v>
      </c>
      <c r="C629" s="357" t="s">
        <v>477</v>
      </c>
      <c r="D629" s="358">
        <v>1021011</v>
      </c>
      <c r="E629" s="358">
        <v>1</v>
      </c>
      <c r="F629" s="358"/>
      <c r="G629" s="358">
        <v>930</v>
      </c>
      <c r="H629" s="358" t="s">
        <v>264</v>
      </c>
      <c r="I629" s="358"/>
      <c r="J629" s="358" t="s">
        <v>265</v>
      </c>
      <c r="K629" s="359" t="b">
        <f t="shared" si="22"/>
        <v>1</v>
      </c>
      <c r="L629" s="359">
        <v>8</v>
      </c>
      <c r="M629" s="360">
        <v>2024</v>
      </c>
      <c r="N629" s="361">
        <v>0</v>
      </c>
      <c r="O629" s="362">
        <v>42642</v>
      </c>
      <c r="P629" s="362">
        <v>42642</v>
      </c>
    </row>
    <row r="630" spans="1:16" ht="14.25">
      <c r="A630" s="356">
        <v>2016</v>
      </c>
      <c r="B630" s="357" t="s">
        <v>476</v>
      </c>
      <c r="C630" s="357" t="s">
        <v>477</v>
      </c>
      <c r="D630" s="358">
        <v>1021011</v>
      </c>
      <c r="E630" s="358">
        <v>1</v>
      </c>
      <c r="F630" s="358"/>
      <c r="G630" s="358">
        <v>930</v>
      </c>
      <c r="H630" s="358" t="s">
        <v>264</v>
      </c>
      <c r="I630" s="358"/>
      <c r="J630" s="358" t="s">
        <v>265</v>
      </c>
      <c r="K630" s="359" t="b">
        <f t="shared" si="22"/>
        <v>1</v>
      </c>
      <c r="L630" s="359">
        <v>4</v>
      </c>
      <c r="M630" s="360">
        <v>2020</v>
      </c>
      <c r="N630" s="361">
        <v>0</v>
      </c>
      <c r="O630" s="362">
        <v>42642</v>
      </c>
      <c r="P630" s="362">
        <v>42642</v>
      </c>
    </row>
    <row r="631" spans="1:16" ht="14.25">
      <c r="A631" s="356">
        <v>2016</v>
      </c>
      <c r="B631" s="357" t="s">
        <v>476</v>
      </c>
      <c r="C631" s="357" t="s">
        <v>477</v>
      </c>
      <c r="D631" s="358">
        <v>1021011</v>
      </c>
      <c r="E631" s="358">
        <v>1</v>
      </c>
      <c r="F631" s="358"/>
      <c r="G631" s="358">
        <v>930</v>
      </c>
      <c r="H631" s="358" t="s">
        <v>264</v>
      </c>
      <c r="I631" s="358"/>
      <c r="J631" s="358" t="s">
        <v>265</v>
      </c>
      <c r="K631" s="359" t="b">
        <f t="shared" si="22"/>
        <v>1</v>
      </c>
      <c r="L631" s="359">
        <v>5</v>
      </c>
      <c r="M631" s="360">
        <v>2021</v>
      </c>
      <c r="N631" s="361">
        <v>0</v>
      </c>
      <c r="O631" s="362">
        <v>42642</v>
      </c>
      <c r="P631" s="362">
        <v>42642</v>
      </c>
    </row>
    <row r="632" spans="1:16" ht="14.25">
      <c r="A632" s="356">
        <v>2016</v>
      </c>
      <c r="B632" s="357" t="s">
        <v>476</v>
      </c>
      <c r="C632" s="357" t="s">
        <v>477</v>
      </c>
      <c r="D632" s="358">
        <v>1021011</v>
      </c>
      <c r="E632" s="358">
        <v>1</v>
      </c>
      <c r="F632" s="358"/>
      <c r="G632" s="358">
        <v>930</v>
      </c>
      <c r="H632" s="358" t="s">
        <v>264</v>
      </c>
      <c r="I632" s="358"/>
      <c r="J632" s="358" t="s">
        <v>265</v>
      </c>
      <c r="K632" s="359" t="b">
        <f t="shared" si="22"/>
        <v>1</v>
      </c>
      <c r="L632" s="359">
        <v>2</v>
      </c>
      <c r="M632" s="360">
        <v>2018</v>
      </c>
      <c r="N632" s="361">
        <v>0</v>
      </c>
      <c r="O632" s="362">
        <v>42642</v>
      </c>
      <c r="P632" s="362">
        <v>42642</v>
      </c>
    </row>
    <row r="633" spans="1:16" ht="14.25">
      <c r="A633" s="356">
        <v>2016</v>
      </c>
      <c r="B633" s="357" t="s">
        <v>476</v>
      </c>
      <c r="C633" s="357" t="s">
        <v>477</v>
      </c>
      <c r="D633" s="358">
        <v>1021011</v>
      </c>
      <c r="E633" s="358">
        <v>1</v>
      </c>
      <c r="F633" s="358"/>
      <c r="G633" s="358">
        <v>930</v>
      </c>
      <c r="H633" s="358" t="s">
        <v>264</v>
      </c>
      <c r="I633" s="358"/>
      <c r="J633" s="358" t="s">
        <v>265</v>
      </c>
      <c r="K633" s="359" t="b">
        <f t="shared" si="22"/>
        <v>1</v>
      </c>
      <c r="L633" s="359">
        <v>6</v>
      </c>
      <c r="M633" s="360">
        <v>2022</v>
      </c>
      <c r="N633" s="361">
        <v>0</v>
      </c>
      <c r="O633" s="362">
        <v>42642</v>
      </c>
      <c r="P633" s="362">
        <v>42642</v>
      </c>
    </row>
    <row r="634" spans="1:16" ht="14.25">
      <c r="A634" s="356">
        <v>2016</v>
      </c>
      <c r="B634" s="357" t="s">
        <v>476</v>
      </c>
      <c r="C634" s="357" t="s">
        <v>477</v>
      </c>
      <c r="D634" s="358">
        <v>1021011</v>
      </c>
      <c r="E634" s="358">
        <v>1</v>
      </c>
      <c r="F634" s="358"/>
      <c r="G634" s="358">
        <v>420</v>
      </c>
      <c r="H634" s="358">
        <v>8.1</v>
      </c>
      <c r="I634" s="358" t="s">
        <v>431</v>
      </c>
      <c r="J634" s="358" t="s">
        <v>110</v>
      </c>
      <c r="K634" s="359" t="b">
        <f aca="true" t="shared" si="23" ref="K634:K660">FALSE</f>
        <v>0</v>
      </c>
      <c r="L634" s="359">
        <v>6</v>
      </c>
      <c r="M634" s="360">
        <v>2022</v>
      </c>
      <c r="N634" s="361">
        <v>5400000</v>
      </c>
      <c r="O634" s="362">
        <v>42642</v>
      </c>
      <c r="P634" s="362">
        <v>42642</v>
      </c>
    </row>
    <row r="635" spans="1:16" ht="14.25">
      <c r="A635" s="356">
        <v>2016</v>
      </c>
      <c r="B635" s="357" t="s">
        <v>476</v>
      </c>
      <c r="C635" s="357" t="s">
        <v>477</v>
      </c>
      <c r="D635" s="358">
        <v>1021011</v>
      </c>
      <c r="E635" s="358">
        <v>1</v>
      </c>
      <c r="F635" s="358"/>
      <c r="G635" s="358">
        <v>420</v>
      </c>
      <c r="H635" s="358">
        <v>8.1</v>
      </c>
      <c r="I635" s="358" t="s">
        <v>431</v>
      </c>
      <c r="J635" s="358" t="s">
        <v>110</v>
      </c>
      <c r="K635" s="359" t="b">
        <f t="shared" si="23"/>
        <v>0</v>
      </c>
      <c r="L635" s="359">
        <v>8</v>
      </c>
      <c r="M635" s="360">
        <v>2024</v>
      </c>
      <c r="N635" s="361">
        <v>6400000</v>
      </c>
      <c r="O635" s="362">
        <v>42642</v>
      </c>
      <c r="P635" s="362">
        <v>42642</v>
      </c>
    </row>
    <row r="636" spans="1:16" ht="14.25">
      <c r="A636" s="356">
        <v>2016</v>
      </c>
      <c r="B636" s="357" t="s">
        <v>476</v>
      </c>
      <c r="C636" s="357" t="s">
        <v>477</v>
      </c>
      <c r="D636" s="358">
        <v>1021011</v>
      </c>
      <c r="E636" s="358">
        <v>1</v>
      </c>
      <c r="F636" s="358"/>
      <c r="G636" s="358">
        <v>420</v>
      </c>
      <c r="H636" s="358">
        <v>8.1</v>
      </c>
      <c r="I636" s="358" t="s">
        <v>431</v>
      </c>
      <c r="J636" s="358" t="s">
        <v>110</v>
      </c>
      <c r="K636" s="359" t="b">
        <f t="shared" si="23"/>
        <v>0</v>
      </c>
      <c r="L636" s="359">
        <v>7</v>
      </c>
      <c r="M636" s="360">
        <v>2023</v>
      </c>
      <c r="N636" s="361">
        <v>5900000</v>
      </c>
      <c r="O636" s="362">
        <v>42642</v>
      </c>
      <c r="P636" s="362">
        <v>42642</v>
      </c>
    </row>
    <row r="637" spans="1:16" ht="14.25">
      <c r="A637" s="356">
        <v>2016</v>
      </c>
      <c r="B637" s="357" t="s">
        <v>476</v>
      </c>
      <c r="C637" s="357" t="s">
        <v>477</v>
      </c>
      <c r="D637" s="358">
        <v>1021011</v>
      </c>
      <c r="E637" s="358">
        <v>1</v>
      </c>
      <c r="F637" s="358"/>
      <c r="G637" s="358">
        <v>420</v>
      </c>
      <c r="H637" s="358">
        <v>8.1</v>
      </c>
      <c r="I637" s="358" t="s">
        <v>431</v>
      </c>
      <c r="J637" s="358" t="s">
        <v>110</v>
      </c>
      <c r="K637" s="359" t="b">
        <f t="shared" si="23"/>
        <v>0</v>
      </c>
      <c r="L637" s="359">
        <v>0</v>
      </c>
      <c r="M637" s="360">
        <v>2016</v>
      </c>
      <c r="N637" s="361">
        <v>1132446.82</v>
      </c>
      <c r="O637" s="362">
        <v>42642</v>
      </c>
      <c r="P637" s="362">
        <v>42642</v>
      </c>
    </row>
    <row r="638" spans="1:16" ht="14.25">
      <c r="A638" s="356">
        <v>2016</v>
      </c>
      <c r="B638" s="357" t="s">
        <v>476</v>
      </c>
      <c r="C638" s="357" t="s">
        <v>477</v>
      </c>
      <c r="D638" s="358">
        <v>1021011</v>
      </c>
      <c r="E638" s="358">
        <v>1</v>
      </c>
      <c r="F638" s="358"/>
      <c r="G638" s="358">
        <v>420</v>
      </c>
      <c r="H638" s="358">
        <v>8.1</v>
      </c>
      <c r="I638" s="358" t="s">
        <v>431</v>
      </c>
      <c r="J638" s="358" t="s">
        <v>110</v>
      </c>
      <c r="K638" s="359" t="b">
        <f t="shared" si="23"/>
        <v>0</v>
      </c>
      <c r="L638" s="359">
        <v>2</v>
      </c>
      <c r="M638" s="360">
        <v>2018</v>
      </c>
      <c r="N638" s="361">
        <v>3400000</v>
      </c>
      <c r="O638" s="362">
        <v>42642</v>
      </c>
      <c r="P638" s="362">
        <v>42642</v>
      </c>
    </row>
    <row r="639" spans="1:16" ht="14.25">
      <c r="A639" s="356">
        <v>2016</v>
      </c>
      <c r="B639" s="357" t="s">
        <v>476</v>
      </c>
      <c r="C639" s="357" t="s">
        <v>477</v>
      </c>
      <c r="D639" s="358">
        <v>1021011</v>
      </c>
      <c r="E639" s="358">
        <v>1</v>
      </c>
      <c r="F639" s="358"/>
      <c r="G639" s="358">
        <v>420</v>
      </c>
      <c r="H639" s="358">
        <v>8.1</v>
      </c>
      <c r="I639" s="358" t="s">
        <v>431</v>
      </c>
      <c r="J639" s="358" t="s">
        <v>110</v>
      </c>
      <c r="K639" s="359" t="b">
        <f t="shared" si="23"/>
        <v>0</v>
      </c>
      <c r="L639" s="359">
        <v>3</v>
      </c>
      <c r="M639" s="360">
        <v>2019</v>
      </c>
      <c r="N639" s="361">
        <v>3900000</v>
      </c>
      <c r="O639" s="362">
        <v>42642</v>
      </c>
      <c r="P639" s="362">
        <v>42642</v>
      </c>
    </row>
    <row r="640" spans="1:16" ht="14.25">
      <c r="A640" s="356">
        <v>2016</v>
      </c>
      <c r="B640" s="357" t="s">
        <v>476</v>
      </c>
      <c r="C640" s="357" t="s">
        <v>477</v>
      </c>
      <c r="D640" s="358">
        <v>1021011</v>
      </c>
      <c r="E640" s="358">
        <v>1</v>
      </c>
      <c r="F640" s="358"/>
      <c r="G640" s="358">
        <v>420</v>
      </c>
      <c r="H640" s="358">
        <v>8.1</v>
      </c>
      <c r="I640" s="358" t="s">
        <v>431</v>
      </c>
      <c r="J640" s="358" t="s">
        <v>110</v>
      </c>
      <c r="K640" s="359" t="b">
        <f t="shared" si="23"/>
        <v>0</v>
      </c>
      <c r="L640" s="359">
        <v>5</v>
      </c>
      <c r="M640" s="360">
        <v>2021</v>
      </c>
      <c r="N640" s="361">
        <v>4900000</v>
      </c>
      <c r="O640" s="362">
        <v>42642</v>
      </c>
      <c r="P640" s="362">
        <v>42642</v>
      </c>
    </row>
    <row r="641" spans="1:16" ht="14.25">
      <c r="A641" s="356">
        <v>2016</v>
      </c>
      <c r="B641" s="357" t="s">
        <v>476</v>
      </c>
      <c r="C641" s="357" t="s">
        <v>477</v>
      </c>
      <c r="D641" s="358">
        <v>1021011</v>
      </c>
      <c r="E641" s="358">
        <v>1</v>
      </c>
      <c r="F641" s="358"/>
      <c r="G641" s="358">
        <v>420</v>
      </c>
      <c r="H641" s="358">
        <v>8.1</v>
      </c>
      <c r="I641" s="358" t="s">
        <v>431</v>
      </c>
      <c r="J641" s="358" t="s">
        <v>110</v>
      </c>
      <c r="K641" s="359" t="b">
        <f t="shared" si="23"/>
        <v>0</v>
      </c>
      <c r="L641" s="359">
        <v>1</v>
      </c>
      <c r="M641" s="360">
        <v>2017</v>
      </c>
      <c r="N641" s="361">
        <v>3000000</v>
      </c>
      <c r="O641" s="362">
        <v>42642</v>
      </c>
      <c r="P641" s="362">
        <v>42642</v>
      </c>
    </row>
    <row r="642" spans="1:16" ht="14.25">
      <c r="A642" s="356">
        <v>2016</v>
      </c>
      <c r="B642" s="357" t="s">
        <v>476</v>
      </c>
      <c r="C642" s="357" t="s">
        <v>477</v>
      </c>
      <c r="D642" s="358">
        <v>1021011</v>
      </c>
      <c r="E642" s="358">
        <v>1</v>
      </c>
      <c r="F642" s="358"/>
      <c r="G642" s="358">
        <v>420</v>
      </c>
      <c r="H642" s="358">
        <v>8.1</v>
      </c>
      <c r="I642" s="358" t="s">
        <v>431</v>
      </c>
      <c r="J642" s="358" t="s">
        <v>110</v>
      </c>
      <c r="K642" s="359" t="b">
        <f t="shared" si="23"/>
        <v>0</v>
      </c>
      <c r="L642" s="359">
        <v>4</v>
      </c>
      <c r="M642" s="360">
        <v>2020</v>
      </c>
      <c r="N642" s="361">
        <v>4400000</v>
      </c>
      <c r="O642" s="362">
        <v>42642</v>
      </c>
      <c r="P642" s="362">
        <v>42642</v>
      </c>
    </row>
    <row r="643" spans="1:16" ht="14.25">
      <c r="A643" s="356">
        <v>2016</v>
      </c>
      <c r="B643" s="357" t="s">
        <v>476</v>
      </c>
      <c r="C643" s="357" t="s">
        <v>477</v>
      </c>
      <c r="D643" s="358">
        <v>1021011</v>
      </c>
      <c r="E643" s="358">
        <v>1</v>
      </c>
      <c r="F643" s="358"/>
      <c r="G643" s="358">
        <v>750</v>
      </c>
      <c r="H643" s="358" t="s">
        <v>196</v>
      </c>
      <c r="I643" s="358"/>
      <c r="J643" s="358" t="s">
        <v>197</v>
      </c>
      <c r="K643" s="359" t="b">
        <f t="shared" si="23"/>
        <v>0</v>
      </c>
      <c r="L643" s="359">
        <v>5</v>
      </c>
      <c r="M643" s="360">
        <v>2021</v>
      </c>
      <c r="N643" s="361">
        <v>0</v>
      </c>
      <c r="O643" s="362">
        <v>42642</v>
      </c>
      <c r="P643" s="362">
        <v>42642</v>
      </c>
    </row>
    <row r="644" spans="1:16" ht="14.25">
      <c r="A644" s="356">
        <v>2016</v>
      </c>
      <c r="B644" s="357" t="s">
        <v>476</v>
      </c>
      <c r="C644" s="357" t="s">
        <v>477</v>
      </c>
      <c r="D644" s="358">
        <v>1021011</v>
      </c>
      <c r="E644" s="358">
        <v>1</v>
      </c>
      <c r="F644" s="358"/>
      <c r="G644" s="358">
        <v>750</v>
      </c>
      <c r="H644" s="358" t="s">
        <v>196</v>
      </c>
      <c r="I644" s="358"/>
      <c r="J644" s="358" t="s">
        <v>197</v>
      </c>
      <c r="K644" s="359" t="b">
        <f t="shared" si="23"/>
        <v>0</v>
      </c>
      <c r="L644" s="359">
        <v>1</v>
      </c>
      <c r="M644" s="360">
        <v>2017</v>
      </c>
      <c r="N644" s="361">
        <v>0</v>
      </c>
      <c r="O644" s="362">
        <v>42642</v>
      </c>
      <c r="P644" s="362">
        <v>42642</v>
      </c>
    </row>
    <row r="645" spans="1:16" ht="14.25">
      <c r="A645" s="356">
        <v>2016</v>
      </c>
      <c r="B645" s="357" t="s">
        <v>476</v>
      </c>
      <c r="C645" s="357" t="s">
        <v>477</v>
      </c>
      <c r="D645" s="358">
        <v>1021011</v>
      </c>
      <c r="E645" s="358">
        <v>1</v>
      </c>
      <c r="F645" s="358"/>
      <c r="G645" s="358">
        <v>750</v>
      </c>
      <c r="H645" s="358" t="s">
        <v>196</v>
      </c>
      <c r="I645" s="358"/>
      <c r="J645" s="358" t="s">
        <v>197</v>
      </c>
      <c r="K645" s="359" t="b">
        <f t="shared" si="23"/>
        <v>0</v>
      </c>
      <c r="L645" s="359">
        <v>2</v>
      </c>
      <c r="M645" s="360">
        <v>2018</v>
      </c>
      <c r="N645" s="361">
        <v>0</v>
      </c>
      <c r="O645" s="362">
        <v>42642</v>
      </c>
      <c r="P645" s="362">
        <v>42642</v>
      </c>
    </row>
    <row r="646" spans="1:16" ht="14.25">
      <c r="A646" s="356">
        <v>2016</v>
      </c>
      <c r="B646" s="357" t="s">
        <v>476</v>
      </c>
      <c r="C646" s="357" t="s">
        <v>477</v>
      </c>
      <c r="D646" s="358">
        <v>1021011</v>
      </c>
      <c r="E646" s="358">
        <v>1</v>
      </c>
      <c r="F646" s="358"/>
      <c r="G646" s="358">
        <v>750</v>
      </c>
      <c r="H646" s="358" t="s">
        <v>196</v>
      </c>
      <c r="I646" s="358"/>
      <c r="J646" s="358" t="s">
        <v>197</v>
      </c>
      <c r="K646" s="359" t="b">
        <f t="shared" si="23"/>
        <v>0</v>
      </c>
      <c r="L646" s="359">
        <v>6</v>
      </c>
      <c r="M646" s="360">
        <v>2022</v>
      </c>
      <c r="N646" s="361">
        <v>0</v>
      </c>
      <c r="O646" s="362">
        <v>42642</v>
      </c>
      <c r="P646" s="362">
        <v>42642</v>
      </c>
    </row>
    <row r="647" spans="1:16" ht="14.25">
      <c r="A647" s="356">
        <v>2016</v>
      </c>
      <c r="B647" s="357" t="s">
        <v>476</v>
      </c>
      <c r="C647" s="357" t="s">
        <v>477</v>
      </c>
      <c r="D647" s="358">
        <v>1021011</v>
      </c>
      <c r="E647" s="358">
        <v>1</v>
      </c>
      <c r="F647" s="358"/>
      <c r="G647" s="358">
        <v>750</v>
      </c>
      <c r="H647" s="358" t="s">
        <v>196</v>
      </c>
      <c r="I647" s="358"/>
      <c r="J647" s="358" t="s">
        <v>197</v>
      </c>
      <c r="K647" s="359" t="b">
        <f t="shared" si="23"/>
        <v>0</v>
      </c>
      <c r="L647" s="359">
        <v>8</v>
      </c>
      <c r="M647" s="360">
        <v>2024</v>
      </c>
      <c r="N647" s="361">
        <v>0</v>
      </c>
      <c r="O647" s="362">
        <v>42642</v>
      </c>
      <c r="P647" s="362">
        <v>42642</v>
      </c>
    </row>
    <row r="648" spans="1:16" ht="14.25">
      <c r="A648" s="356">
        <v>2016</v>
      </c>
      <c r="B648" s="357" t="s">
        <v>476</v>
      </c>
      <c r="C648" s="357" t="s">
        <v>477</v>
      </c>
      <c r="D648" s="358">
        <v>1021011</v>
      </c>
      <c r="E648" s="358">
        <v>1</v>
      </c>
      <c r="F648" s="358"/>
      <c r="G648" s="358">
        <v>750</v>
      </c>
      <c r="H648" s="358" t="s">
        <v>196</v>
      </c>
      <c r="I648" s="358"/>
      <c r="J648" s="358" t="s">
        <v>197</v>
      </c>
      <c r="K648" s="359" t="b">
        <f t="shared" si="23"/>
        <v>0</v>
      </c>
      <c r="L648" s="359">
        <v>3</v>
      </c>
      <c r="M648" s="360">
        <v>2019</v>
      </c>
      <c r="N648" s="361">
        <v>0</v>
      </c>
      <c r="O648" s="362">
        <v>42642</v>
      </c>
      <c r="P648" s="362">
        <v>42642</v>
      </c>
    </row>
    <row r="649" spans="1:16" ht="14.25">
      <c r="A649" s="356">
        <v>2016</v>
      </c>
      <c r="B649" s="357" t="s">
        <v>476</v>
      </c>
      <c r="C649" s="357" t="s">
        <v>477</v>
      </c>
      <c r="D649" s="358">
        <v>1021011</v>
      </c>
      <c r="E649" s="358">
        <v>1</v>
      </c>
      <c r="F649" s="358"/>
      <c r="G649" s="358">
        <v>750</v>
      </c>
      <c r="H649" s="358" t="s">
        <v>196</v>
      </c>
      <c r="I649" s="358"/>
      <c r="J649" s="358" t="s">
        <v>197</v>
      </c>
      <c r="K649" s="359" t="b">
        <f t="shared" si="23"/>
        <v>0</v>
      </c>
      <c r="L649" s="359">
        <v>7</v>
      </c>
      <c r="M649" s="360">
        <v>2023</v>
      </c>
      <c r="N649" s="361">
        <v>0</v>
      </c>
      <c r="O649" s="362">
        <v>42642</v>
      </c>
      <c r="P649" s="362">
        <v>42642</v>
      </c>
    </row>
    <row r="650" spans="1:16" ht="14.25">
      <c r="A650" s="356">
        <v>2016</v>
      </c>
      <c r="B650" s="357" t="s">
        <v>476</v>
      </c>
      <c r="C650" s="357" t="s">
        <v>477</v>
      </c>
      <c r="D650" s="358">
        <v>1021011</v>
      </c>
      <c r="E650" s="358">
        <v>1</v>
      </c>
      <c r="F650" s="358"/>
      <c r="G650" s="358">
        <v>750</v>
      </c>
      <c r="H650" s="358" t="s">
        <v>196</v>
      </c>
      <c r="I650" s="358"/>
      <c r="J650" s="358" t="s">
        <v>197</v>
      </c>
      <c r="K650" s="359" t="b">
        <f t="shared" si="23"/>
        <v>0</v>
      </c>
      <c r="L650" s="359">
        <v>4</v>
      </c>
      <c r="M650" s="360">
        <v>2020</v>
      </c>
      <c r="N650" s="361">
        <v>0</v>
      </c>
      <c r="O650" s="362">
        <v>42642</v>
      </c>
      <c r="P650" s="362">
        <v>42642</v>
      </c>
    </row>
    <row r="651" spans="1:16" ht="14.25">
      <c r="A651" s="356">
        <v>2016</v>
      </c>
      <c r="B651" s="357" t="s">
        <v>476</v>
      </c>
      <c r="C651" s="357" t="s">
        <v>477</v>
      </c>
      <c r="D651" s="358">
        <v>1021011</v>
      </c>
      <c r="E651" s="358">
        <v>1</v>
      </c>
      <c r="F651" s="358"/>
      <c r="G651" s="358">
        <v>750</v>
      </c>
      <c r="H651" s="358" t="s">
        <v>196</v>
      </c>
      <c r="I651" s="358"/>
      <c r="J651" s="358" t="s">
        <v>197</v>
      </c>
      <c r="K651" s="359" t="b">
        <f t="shared" si="23"/>
        <v>0</v>
      </c>
      <c r="L651" s="359">
        <v>0</v>
      </c>
      <c r="M651" s="360">
        <v>2016</v>
      </c>
      <c r="N651" s="361">
        <v>13250</v>
      </c>
      <c r="O651" s="362">
        <v>42642</v>
      </c>
      <c r="P651" s="362">
        <v>42642</v>
      </c>
    </row>
    <row r="652" spans="1:16" ht="14.25">
      <c r="A652" s="356">
        <v>2016</v>
      </c>
      <c r="B652" s="357" t="s">
        <v>476</v>
      </c>
      <c r="C652" s="357" t="s">
        <v>477</v>
      </c>
      <c r="D652" s="358">
        <v>1021011</v>
      </c>
      <c r="E652" s="358">
        <v>1</v>
      </c>
      <c r="F652" s="358"/>
      <c r="G652" s="358">
        <v>120</v>
      </c>
      <c r="H652" s="358">
        <v>2</v>
      </c>
      <c r="I652" s="358" t="s">
        <v>482</v>
      </c>
      <c r="J652" s="358" t="s">
        <v>40</v>
      </c>
      <c r="K652" s="359" t="b">
        <f t="shared" si="23"/>
        <v>0</v>
      </c>
      <c r="L652" s="359">
        <v>5</v>
      </c>
      <c r="M652" s="360">
        <v>2021</v>
      </c>
      <c r="N652" s="361">
        <v>39789996</v>
      </c>
      <c r="O652" s="362">
        <v>42642</v>
      </c>
      <c r="P652" s="362">
        <v>42642</v>
      </c>
    </row>
    <row r="653" spans="1:16" ht="14.25">
      <c r="A653" s="356">
        <v>2016</v>
      </c>
      <c r="B653" s="357" t="s">
        <v>476</v>
      </c>
      <c r="C653" s="357" t="s">
        <v>477</v>
      </c>
      <c r="D653" s="358">
        <v>1021011</v>
      </c>
      <c r="E653" s="358">
        <v>1</v>
      </c>
      <c r="F653" s="358"/>
      <c r="G653" s="358">
        <v>120</v>
      </c>
      <c r="H653" s="358">
        <v>2</v>
      </c>
      <c r="I653" s="358" t="s">
        <v>482</v>
      </c>
      <c r="J653" s="358" t="s">
        <v>40</v>
      </c>
      <c r="K653" s="359" t="b">
        <f t="shared" si="23"/>
        <v>0</v>
      </c>
      <c r="L653" s="359">
        <v>4</v>
      </c>
      <c r="M653" s="360">
        <v>2020</v>
      </c>
      <c r="N653" s="361">
        <v>38789996</v>
      </c>
      <c r="O653" s="362">
        <v>42642</v>
      </c>
      <c r="P653" s="362">
        <v>42642</v>
      </c>
    </row>
    <row r="654" spans="1:16" ht="14.25">
      <c r="A654" s="356">
        <v>2016</v>
      </c>
      <c r="B654" s="357" t="s">
        <v>476</v>
      </c>
      <c r="C654" s="357" t="s">
        <v>477</v>
      </c>
      <c r="D654" s="358">
        <v>1021011</v>
      </c>
      <c r="E654" s="358">
        <v>1</v>
      </c>
      <c r="F654" s="358"/>
      <c r="G654" s="358">
        <v>120</v>
      </c>
      <c r="H654" s="358">
        <v>2</v>
      </c>
      <c r="I654" s="358" t="s">
        <v>482</v>
      </c>
      <c r="J654" s="358" t="s">
        <v>40</v>
      </c>
      <c r="K654" s="359" t="b">
        <f t="shared" si="23"/>
        <v>0</v>
      </c>
      <c r="L654" s="359">
        <v>0</v>
      </c>
      <c r="M654" s="360">
        <v>2016</v>
      </c>
      <c r="N654" s="361">
        <v>42706938.77</v>
      </c>
      <c r="O654" s="362">
        <v>42642</v>
      </c>
      <c r="P654" s="362">
        <v>42642</v>
      </c>
    </row>
    <row r="655" spans="1:16" ht="14.25">
      <c r="A655" s="356">
        <v>2016</v>
      </c>
      <c r="B655" s="357" t="s">
        <v>476</v>
      </c>
      <c r="C655" s="357" t="s">
        <v>477</v>
      </c>
      <c r="D655" s="358">
        <v>1021011</v>
      </c>
      <c r="E655" s="358">
        <v>1</v>
      </c>
      <c r="F655" s="358"/>
      <c r="G655" s="358">
        <v>120</v>
      </c>
      <c r="H655" s="358">
        <v>2</v>
      </c>
      <c r="I655" s="358" t="s">
        <v>482</v>
      </c>
      <c r="J655" s="358" t="s">
        <v>40</v>
      </c>
      <c r="K655" s="359" t="b">
        <f t="shared" si="23"/>
        <v>0</v>
      </c>
      <c r="L655" s="359">
        <v>1</v>
      </c>
      <c r="M655" s="360">
        <v>2017</v>
      </c>
      <c r="N655" s="361">
        <v>37874683.87</v>
      </c>
      <c r="O655" s="362">
        <v>42642</v>
      </c>
      <c r="P655" s="362">
        <v>42642</v>
      </c>
    </row>
    <row r="656" spans="1:16" ht="14.25">
      <c r="A656" s="356">
        <v>2016</v>
      </c>
      <c r="B656" s="357" t="s">
        <v>476</v>
      </c>
      <c r="C656" s="357" t="s">
        <v>477</v>
      </c>
      <c r="D656" s="358">
        <v>1021011</v>
      </c>
      <c r="E656" s="358">
        <v>1</v>
      </c>
      <c r="F656" s="358"/>
      <c r="G656" s="358">
        <v>120</v>
      </c>
      <c r="H656" s="358">
        <v>2</v>
      </c>
      <c r="I656" s="358" t="s">
        <v>482</v>
      </c>
      <c r="J656" s="358" t="s">
        <v>40</v>
      </c>
      <c r="K656" s="359" t="b">
        <f t="shared" si="23"/>
        <v>0</v>
      </c>
      <c r="L656" s="359">
        <v>3</v>
      </c>
      <c r="M656" s="360">
        <v>2019</v>
      </c>
      <c r="N656" s="361">
        <v>38139996</v>
      </c>
      <c r="O656" s="362">
        <v>42642</v>
      </c>
      <c r="P656" s="362">
        <v>42642</v>
      </c>
    </row>
    <row r="657" spans="1:16" ht="14.25">
      <c r="A657" s="356">
        <v>2016</v>
      </c>
      <c r="B657" s="357" t="s">
        <v>476</v>
      </c>
      <c r="C657" s="357" t="s">
        <v>477</v>
      </c>
      <c r="D657" s="358">
        <v>1021011</v>
      </c>
      <c r="E657" s="358">
        <v>1</v>
      </c>
      <c r="F657" s="358"/>
      <c r="G657" s="358">
        <v>120</v>
      </c>
      <c r="H657" s="358">
        <v>2</v>
      </c>
      <c r="I657" s="358" t="s">
        <v>482</v>
      </c>
      <c r="J657" s="358" t="s">
        <v>40</v>
      </c>
      <c r="K657" s="359" t="b">
        <f t="shared" si="23"/>
        <v>0</v>
      </c>
      <c r="L657" s="359">
        <v>7</v>
      </c>
      <c r="M657" s="360">
        <v>2023</v>
      </c>
      <c r="N657" s="361">
        <v>41582000</v>
      </c>
      <c r="O657" s="362">
        <v>42642</v>
      </c>
      <c r="P657" s="362">
        <v>42642</v>
      </c>
    </row>
    <row r="658" spans="1:16" ht="14.25">
      <c r="A658" s="356">
        <v>2016</v>
      </c>
      <c r="B658" s="357" t="s">
        <v>476</v>
      </c>
      <c r="C658" s="357" t="s">
        <v>477</v>
      </c>
      <c r="D658" s="358">
        <v>1021011</v>
      </c>
      <c r="E658" s="358">
        <v>1</v>
      </c>
      <c r="F658" s="358"/>
      <c r="G658" s="358">
        <v>120</v>
      </c>
      <c r="H658" s="358">
        <v>2</v>
      </c>
      <c r="I658" s="358" t="s">
        <v>482</v>
      </c>
      <c r="J658" s="358" t="s">
        <v>40</v>
      </c>
      <c r="K658" s="359" t="b">
        <f t="shared" si="23"/>
        <v>0</v>
      </c>
      <c r="L658" s="359">
        <v>8</v>
      </c>
      <c r="M658" s="360">
        <v>2024</v>
      </c>
      <c r="N658" s="361">
        <v>42934308</v>
      </c>
      <c r="O658" s="362">
        <v>42642</v>
      </c>
      <c r="P658" s="362">
        <v>42642</v>
      </c>
    </row>
    <row r="659" spans="1:16" ht="14.25">
      <c r="A659" s="356">
        <v>2016</v>
      </c>
      <c r="B659" s="357" t="s">
        <v>476</v>
      </c>
      <c r="C659" s="357" t="s">
        <v>477</v>
      </c>
      <c r="D659" s="358">
        <v>1021011</v>
      </c>
      <c r="E659" s="358">
        <v>1</v>
      </c>
      <c r="F659" s="358"/>
      <c r="G659" s="358">
        <v>120</v>
      </c>
      <c r="H659" s="358">
        <v>2</v>
      </c>
      <c r="I659" s="358" t="s">
        <v>482</v>
      </c>
      <c r="J659" s="358" t="s">
        <v>40</v>
      </c>
      <c r="K659" s="359" t="b">
        <f t="shared" si="23"/>
        <v>0</v>
      </c>
      <c r="L659" s="359">
        <v>2</v>
      </c>
      <c r="M659" s="360">
        <v>2018</v>
      </c>
      <c r="N659" s="361">
        <v>37321796</v>
      </c>
      <c r="O659" s="362">
        <v>42642</v>
      </c>
      <c r="P659" s="362">
        <v>42642</v>
      </c>
    </row>
    <row r="660" spans="1:16" ht="14.25">
      <c r="A660" s="356">
        <v>2016</v>
      </c>
      <c r="B660" s="357" t="s">
        <v>476</v>
      </c>
      <c r="C660" s="357" t="s">
        <v>477</v>
      </c>
      <c r="D660" s="358">
        <v>1021011</v>
      </c>
      <c r="E660" s="358">
        <v>1</v>
      </c>
      <c r="F660" s="358"/>
      <c r="G660" s="358">
        <v>120</v>
      </c>
      <c r="H660" s="358">
        <v>2</v>
      </c>
      <c r="I660" s="358" t="s">
        <v>482</v>
      </c>
      <c r="J660" s="358" t="s">
        <v>40</v>
      </c>
      <c r="K660" s="359" t="b">
        <f t="shared" si="23"/>
        <v>0</v>
      </c>
      <c r="L660" s="359">
        <v>6</v>
      </c>
      <c r="M660" s="360">
        <v>2022</v>
      </c>
      <c r="N660" s="361">
        <v>40749996</v>
      </c>
      <c r="O660" s="362">
        <v>42642</v>
      </c>
      <c r="P660" s="362">
        <v>42642</v>
      </c>
    </row>
    <row r="661" spans="1:16" ht="14.25">
      <c r="A661" s="356">
        <v>2016</v>
      </c>
      <c r="B661" s="357" t="s">
        <v>476</v>
      </c>
      <c r="C661" s="357" t="s">
        <v>477</v>
      </c>
      <c r="D661" s="358">
        <v>1021011</v>
      </c>
      <c r="E661" s="358">
        <v>1</v>
      </c>
      <c r="F661" s="358"/>
      <c r="G661" s="358">
        <v>520</v>
      </c>
      <c r="H661" s="358" t="s">
        <v>134</v>
      </c>
      <c r="I661" s="358"/>
      <c r="J661" s="358" t="s">
        <v>450</v>
      </c>
      <c r="K661" s="359" t="b">
        <f aca="true" t="shared" si="24" ref="K661:K723">TRUE</f>
        <v>1</v>
      </c>
      <c r="L661" s="359">
        <v>3</v>
      </c>
      <c r="M661" s="360">
        <v>2019</v>
      </c>
      <c r="N661" s="361">
        <v>0.0647</v>
      </c>
      <c r="O661" s="362">
        <v>42642</v>
      </c>
      <c r="P661" s="362">
        <v>42642</v>
      </c>
    </row>
    <row r="662" spans="1:16" ht="14.25">
      <c r="A662" s="356">
        <v>2016</v>
      </c>
      <c r="B662" s="357" t="s">
        <v>476</v>
      </c>
      <c r="C662" s="357" t="s">
        <v>477</v>
      </c>
      <c r="D662" s="358">
        <v>1021011</v>
      </c>
      <c r="E662" s="358">
        <v>1</v>
      </c>
      <c r="F662" s="358"/>
      <c r="G662" s="358">
        <v>520</v>
      </c>
      <c r="H662" s="358" t="s">
        <v>134</v>
      </c>
      <c r="I662" s="358"/>
      <c r="J662" s="358" t="s">
        <v>450</v>
      </c>
      <c r="K662" s="359" t="b">
        <f t="shared" si="24"/>
        <v>1</v>
      </c>
      <c r="L662" s="359">
        <v>2</v>
      </c>
      <c r="M662" s="360">
        <v>2018</v>
      </c>
      <c r="N662" s="361">
        <v>0.0597</v>
      </c>
      <c r="O662" s="362">
        <v>42642</v>
      </c>
      <c r="P662" s="362">
        <v>42642</v>
      </c>
    </row>
    <row r="663" spans="1:16" ht="14.25">
      <c r="A663" s="356">
        <v>2016</v>
      </c>
      <c r="B663" s="357" t="s">
        <v>476</v>
      </c>
      <c r="C663" s="357" t="s">
        <v>477</v>
      </c>
      <c r="D663" s="358">
        <v>1021011</v>
      </c>
      <c r="E663" s="358">
        <v>1</v>
      </c>
      <c r="F663" s="358"/>
      <c r="G663" s="358">
        <v>520</v>
      </c>
      <c r="H663" s="358" t="s">
        <v>134</v>
      </c>
      <c r="I663" s="358"/>
      <c r="J663" s="358" t="s">
        <v>450</v>
      </c>
      <c r="K663" s="359" t="b">
        <f t="shared" si="24"/>
        <v>1</v>
      </c>
      <c r="L663" s="359">
        <v>7</v>
      </c>
      <c r="M663" s="360">
        <v>2023</v>
      </c>
      <c r="N663" s="361">
        <v>0.1165</v>
      </c>
      <c r="O663" s="362">
        <v>42642</v>
      </c>
      <c r="P663" s="362">
        <v>42642</v>
      </c>
    </row>
    <row r="664" spans="1:16" ht="14.25">
      <c r="A664" s="356">
        <v>2016</v>
      </c>
      <c r="B664" s="357" t="s">
        <v>476</v>
      </c>
      <c r="C664" s="357" t="s">
        <v>477</v>
      </c>
      <c r="D664" s="358">
        <v>1021011</v>
      </c>
      <c r="E664" s="358">
        <v>1</v>
      </c>
      <c r="F664" s="358"/>
      <c r="G664" s="358">
        <v>520</v>
      </c>
      <c r="H664" s="358" t="s">
        <v>134</v>
      </c>
      <c r="I664" s="358"/>
      <c r="J664" s="358" t="s">
        <v>450</v>
      </c>
      <c r="K664" s="359" t="b">
        <f t="shared" si="24"/>
        <v>1</v>
      </c>
      <c r="L664" s="359">
        <v>5</v>
      </c>
      <c r="M664" s="360">
        <v>2021</v>
      </c>
      <c r="N664" s="361">
        <v>0.0973</v>
      </c>
      <c r="O664" s="362">
        <v>42642</v>
      </c>
      <c r="P664" s="362">
        <v>42642</v>
      </c>
    </row>
    <row r="665" spans="1:16" ht="14.25">
      <c r="A665" s="356">
        <v>2016</v>
      </c>
      <c r="B665" s="357" t="s">
        <v>476</v>
      </c>
      <c r="C665" s="357" t="s">
        <v>477</v>
      </c>
      <c r="D665" s="358">
        <v>1021011</v>
      </c>
      <c r="E665" s="358">
        <v>1</v>
      </c>
      <c r="F665" s="358"/>
      <c r="G665" s="358">
        <v>520</v>
      </c>
      <c r="H665" s="358" t="s">
        <v>134</v>
      </c>
      <c r="I665" s="358"/>
      <c r="J665" s="358" t="s">
        <v>450</v>
      </c>
      <c r="K665" s="359" t="b">
        <f t="shared" si="24"/>
        <v>1</v>
      </c>
      <c r="L665" s="359">
        <v>0</v>
      </c>
      <c r="M665" s="360">
        <v>2016</v>
      </c>
      <c r="N665" s="361">
        <v>0.0714</v>
      </c>
      <c r="O665" s="362">
        <v>42642</v>
      </c>
      <c r="P665" s="362">
        <v>42642</v>
      </c>
    </row>
    <row r="666" spans="1:16" ht="14.25">
      <c r="A666" s="356">
        <v>2016</v>
      </c>
      <c r="B666" s="357" t="s">
        <v>476</v>
      </c>
      <c r="C666" s="357" t="s">
        <v>477</v>
      </c>
      <c r="D666" s="358">
        <v>1021011</v>
      </c>
      <c r="E666" s="358">
        <v>1</v>
      </c>
      <c r="F666" s="358"/>
      <c r="G666" s="358">
        <v>520</v>
      </c>
      <c r="H666" s="358" t="s">
        <v>134</v>
      </c>
      <c r="I666" s="358"/>
      <c r="J666" s="358" t="s">
        <v>450</v>
      </c>
      <c r="K666" s="359" t="b">
        <f t="shared" si="24"/>
        <v>1</v>
      </c>
      <c r="L666" s="359">
        <v>8</v>
      </c>
      <c r="M666" s="360">
        <v>2024</v>
      </c>
      <c r="N666" s="361">
        <v>0.1255</v>
      </c>
      <c r="O666" s="362">
        <v>42642</v>
      </c>
      <c r="P666" s="362">
        <v>42642</v>
      </c>
    </row>
    <row r="667" spans="1:16" ht="14.25">
      <c r="A667" s="356">
        <v>2016</v>
      </c>
      <c r="B667" s="357" t="s">
        <v>476</v>
      </c>
      <c r="C667" s="357" t="s">
        <v>477</v>
      </c>
      <c r="D667" s="358">
        <v>1021011</v>
      </c>
      <c r="E667" s="358">
        <v>1</v>
      </c>
      <c r="F667" s="358"/>
      <c r="G667" s="358">
        <v>520</v>
      </c>
      <c r="H667" s="358" t="s">
        <v>134</v>
      </c>
      <c r="I667" s="358"/>
      <c r="J667" s="358" t="s">
        <v>450</v>
      </c>
      <c r="K667" s="359" t="b">
        <f t="shared" si="24"/>
        <v>1</v>
      </c>
      <c r="L667" s="359">
        <v>4</v>
      </c>
      <c r="M667" s="360">
        <v>2020</v>
      </c>
      <c r="N667" s="361">
        <v>0.087</v>
      </c>
      <c r="O667" s="362">
        <v>42642</v>
      </c>
      <c r="P667" s="362">
        <v>42642</v>
      </c>
    </row>
    <row r="668" spans="1:16" ht="14.25">
      <c r="A668" s="356">
        <v>2016</v>
      </c>
      <c r="B668" s="357" t="s">
        <v>476</v>
      </c>
      <c r="C668" s="357" t="s">
        <v>477</v>
      </c>
      <c r="D668" s="358">
        <v>1021011</v>
      </c>
      <c r="E668" s="358">
        <v>1</v>
      </c>
      <c r="F668" s="358"/>
      <c r="G668" s="358">
        <v>520</v>
      </c>
      <c r="H668" s="358" t="s">
        <v>134</v>
      </c>
      <c r="I668" s="358"/>
      <c r="J668" s="358" t="s">
        <v>450</v>
      </c>
      <c r="K668" s="359" t="b">
        <f t="shared" si="24"/>
        <v>1</v>
      </c>
      <c r="L668" s="359">
        <v>1</v>
      </c>
      <c r="M668" s="360">
        <v>2017</v>
      </c>
      <c r="N668" s="361">
        <v>0.0606</v>
      </c>
      <c r="O668" s="362">
        <v>42642</v>
      </c>
      <c r="P668" s="362">
        <v>42642</v>
      </c>
    </row>
    <row r="669" spans="1:16" ht="14.25">
      <c r="A669" s="356">
        <v>2016</v>
      </c>
      <c r="B669" s="357" t="s">
        <v>476</v>
      </c>
      <c r="C669" s="357" t="s">
        <v>477</v>
      </c>
      <c r="D669" s="358">
        <v>1021011</v>
      </c>
      <c r="E669" s="358">
        <v>1</v>
      </c>
      <c r="F669" s="358"/>
      <c r="G669" s="358">
        <v>520</v>
      </c>
      <c r="H669" s="358" t="s">
        <v>134</v>
      </c>
      <c r="I669" s="358"/>
      <c r="J669" s="358" t="s">
        <v>450</v>
      </c>
      <c r="K669" s="359" t="b">
        <f t="shared" si="24"/>
        <v>1</v>
      </c>
      <c r="L669" s="359">
        <v>6</v>
      </c>
      <c r="M669" s="360">
        <v>2022</v>
      </c>
      <c r="N669" s="361">
        <v>0.1072</v>
      </c>
      <c r="O669" s="362">
        <v>42642</v>
      </c>
      <c r="P669" s="362">
        <v>42642</v>
      </c>
    </row>
    <row r="670" spans="1:16" ht="14.25">
      <c r="A670" s="356">
        <v>2016</v>
      </c>
      <c r="B670" s="357" t="s">
        <v>476</v>
      </c>
      <c r="C670" s="357" t="s">
        <v>477</v>
      </c>
      <c r="D670" s="358">
        <v>1021011</v>
      </c>
      <c r="E670" s="358">
        <v>1</v>
      </c>
      <c r="F670" s="358"/>
      <c r="G670" s="358">
        <v>170</v>
      </c>
      <c r="H670" s="358" t="s">
        <v>53</v>
      </c>
      <c r="I670" s="358"/>
      <c r="J670" s="358" t="s">
        <v>54</v>
      </c>
      <c r="K670" s="359" t="b">
        <f t="shared" si="24"/>
        <v>1</v>
      </c>
      <c r="L670" s="359">
        <v>2</v>
      </c>
      <c r="M670" s="360">
        <v>2018</v>
      </c>
      <c r="N670" s="361">
        <v>470000</v>
      </c>
      <c r="O670" s="362">
        <v>42642</v>
      </c>
      <c r="P670" s="362">
        <v>42642</v>
      </c>
    </row>
    <row r="671" spans="1:16" ht="14.25">
      <c r="A671" s="356">
        <v>2016</v>
      </c>
      <c r="B671" s="357" t="s">
        <v>476</v>
      </c>
      <c r="C671" s="357" t="s">
        <v>477</v>
      </c>
      <c r="D671" s="358">
        <v>1021011</v>
      </c>
      <c r="E671" s="358">
        <v>1</v>
      </c>
      <c r="F671" s="358"/>
      <c r="G671" s="358">
        <v>170</v>
      </c>
      <c r="H671" s="358" t="s">
        <v>53</v>
      </c>
      <c r="I671" s="358"/>
      <c r="J671" s="358" t="s">
        <v>54</v>
      </c>
      <c r="K671" s="359" t="b">
        <f t="shared" si="24"/>
        <v>1</v>
      </c>
      <c r="L671" s="359">
        <v>3</v>
      </c>
      <c r="M671" s="360">
        <v>2019</v>
      </c>
      <c r="N671" s="361">
        <v>440000</v>
      </c>
      <c r="O671" s="362">
        <v>42642</v>
      </c>
      <c r="P671" s="362">
        <v>42642</v>
      </c>
    </row>
    <row r="672" spans="1:16" ht="14.25">
      <c r="A672" s="356">
        <v>2016</v>
      </c>
      <c r="B672" s="357" t="s">
        <v>476</v>
      </c>
      <c r="C672" s="357" t="s">
        <v>477</v>
      </c>
      <c r="D672" s="358">
        <v>1021011</v>
      </c>
      <c r="E672" s="358">
        <v>1</v>
      </c>
      <c r="F672" s="358"/>
      <c r="G672" s="358">
        <v>170</v>
      </c>
      <c r="H672" s="358" t="s">
        <v>53</v>
      </c>
      <c r="I672" s="358"/>
      <c r="J672" s="358" t="s">
        <v>54</v>
      </c>
      <c r="K672" s="359" t="b">
        <f t="shared" si="24"/>
        <v>1</v>
      </c>
      <c r="L672" s="359">
        <v>4</v>
      </c>
      <c r="M672" s="360">
        <v>2020</v>
      </c>
      <c r="N672" s="361">
        <v>380000</v>
      </c>
      <c r="O672" s="362">
        <v>42642</v>
      </c>
      <c r="P672" s="362">
        <v>42642</v>
      </c>
    </row>
    <row r="673" spans="1:16" ht="14.25">
      <c r="A673" s="356">
        <v>2016</v>
      </c>
      <c r="B673" s="357" t="s">
        <v>476</v>
      </c>
      <c r="C673" s="357" t="s">
        <v>477</v>
      </c>
      <c r="D673" s="358">
        <v>1021011</v>
      </c>
      <c r="E673" s="358">
        <v>1</v>
      </c>
      <c r="F673" s="358"/>
      <c r="G673" s="358">
        <v>170</v>
      </c>
      <c r="H673" s="358" t="s">
        <v>53</v>
      </c>
      <c r="I673" s="358"/>
      <c r="J673" s="358" t="s">
        <v>54</v>
      </c>
      <c r="K673" s="359" t="b">
        <f t="shared" si="24"/>
        <v>1</v>
      </c>
      <c r="L673" s="359">
        <v>8</v>
      </c>
      <c r="M673" s="360">
        <v>2024</v>
      </c>
      <c r="N673" s="361">
        <v>40000</v>
      </c>
      <c r="O673" s="362">
        <v>42642</v>
      </c>
      <c r="P673" s="362">
        <v>42642</v>
      </c>
    </row>
    <row r="674" spans="1:16" ht="14.25">
      <c r="A674" s="356">
        <v>2016</v>
      </c>
      <c r="B674" s="357" t="s">
        <v>476</v>
      </c>
      <c r="C674" s="357" t="s">
        <v>477</v>
      </c>
      <c r="D674" s="358">
        <v>1021011</v>
      </c>
      <c r="E674" s="358">
        <v>1</v>
      </c>
      <c r="F674" s="358"/>
      <c r="G674" s="358">
        <v>170</v>
      </c>
      <c r="H674" s="358" t="s">
        <v>53</v>
      </c>
      <c r="I674" s="358"/>
      <c r="J674" s="358" t="s">
        <v>54</v>
      </c>
      <c r="K674" s="359" t="b">
        <f t="shared" si="24"/>
        <v>1</v>
      </c>
      <c r="L674" s="359">
        <v>6</v>
      </c>
      <c r="M674" s="360">
        <v>2022</v>
      </c>
      <c r="N674" s="361">
        <v>210000</v>
      </c>
      <c r="O674" s="362">
        <v>42642</v>
      </c>
      <c r="P674" s="362">
        <v>42642</v>
      </c>
    </row>
    <row r="675" spans="1:16" ht="14.25">
      <c r="A675" s="356">
        <v>2016</v>
      </c>
      <c r="B675" s="357" t="s">
        <v>476</v>
      </c>
      <c r="C675" s="357" t="s">
        <v>477</v>
      </c>
      <c r="D675" s="358">
        <v>1021011</v>
      </c>
      <c r="E675" s="358">
        <v>1</v>
      </c>
      <c r="F675" s="358"/>
      <c r="G675" s="358">
        <v>170</v>
      </c>
      <c r="H675" s="358" t="s">
        <v>53</v>
      </c>
      <c r="I675" s="358"/>
      <c r="J675" s="358" t="s">
        <v>54</v>
      </c>
      <c r="K675" s="359" t="b">
        <f t="shared" si="24"/>
        <v>1</v>
      </c>
      <c r="L675" s="359">
        <v>7</v>
      </c>
      <c r="M675" s="360">
        <v>2023</v>
      </c>
      <c r="N675" s="361">
        <v>130000</v>
      </c>
      <c r="O675" s="362">
        <v>42642</v>
      </c>
      <c r="P675" s="362">
        <v>42642</v>
      </c>
    </row>
    <row r="676" spans="1:16" ht="14.25">
      <c r="A676" s="356">
        <v>2016</v>
      </c>
      <c r="B676" s="357" t="s">
        <v>476</v>
      </c>
      <c r="C676" s="357" t="s">
        <v>477</v>
      </c>
      <c r="D676" s="358">
        <v>1021011</v>
      </c>
      <c r="E676" s="358">
        <v>1</v>
      </c>
      <c r="F676" s="358"/>
      <c r="G676" s="358">
        <v>170</v>
      </c>
      <c r="H676" s="358" t="s">
        <v>53</v>
      </c>
      <c r="I676" s="358"/>
      <c r="J676" s="358" t="s">
        <v>54</v>
      </c>
      <c r="K676" s="359" t="b">
        <f t="shared" si="24"/>
        <v>1</v>
      </c>
      <c r="L676" s="359">
        <v>5</v>
      </c>
      <c r="M676" s="360">
        <v>2021</v>
      </c>
      <c r="N676" s="361">
        <v>300000</v>
      </c>
      <c r="O676" s="362">
        <v>42642</v>
      </c>
      <c r="P676" s="362">
        <v>42642</v>
      </c>
    </row>
    <row r="677" spans="1:16" ht="14.25">
      <c r="A677" s="356">
        <v>2016</v>
      </c>
      <c r="B677" s="357" t="s">
        <v>476</v>
      </c>
      <c r="C677" s="357" t="s">
        <v>477</v>
      </c>
      <c r="D677" s="358">
        <v>1021011</v>
      </c>
      <c r="E677" s="358">
        <v>1</v>
      </c>
      <c r="F677" s="358"/>
      <c r="G677" s="358">
        <v>170</v>
      </c>
      <c r="H677" s="358" t="s">
        <v>53</v>
      </c>
      <c r="I677" s="358"/>
      <c r="J677" s="358" t="s">
        <v>54</v>
      </c>
      <c r="K677" s="359" t="b">
        <f t="shared" si="24"/>
        <v>1</v>
      </c>
      <c r="L677" s="359">
        <v>0</v>
      </c>
      <c r="M677" s="360">
        <v>2016</v>
      </c>
      <c r="N677" s="361">
        <v>475000</v>
      </c>
      <c r="O677" s="362">
        <v>42642</v>
      </c>
      <c r="P677" s="362">
        <v>42642</v>
      </c>
    </row>
    <row r="678" spans="1:16" ht="14.25">
      <c r="A678" s="356">
        <v>2016</v>
      </c>
      <c r="B678" s="357" t="s">
        <v>476</v>
      </c>
      <c r="C678" s="357" t="s">
        <v>477</v>
      </c>
      <c r="D678" s="358">
        <v>1021011</v>
      </c>
      <c r="E678" s="358">
        <v>1</v>
      </c>
      <c r="F678" s="358"/>
      <c r="G678" s="358">
        <v>170</v>
      </c>
      <c r="H678" s="358" t="s">
        <v>53</v>
      </c>
      <c r="I678" s="358"/>
      <c r="J678" s="358" t="s">
        <v>54</v>
      </c>
      <c r="K678" s="359" t="b">
        <f t="shared" si="24"/>
        <v>1</v>
      </c>
      <c r="L678" s="359">
        <v>1</v>
      </c>
      <c r="M678" s="360">
        <v>2017</v>
      </c>
      <c r="N678" s="361">
        <v>500000</v>
      </c>
      <c r="O678" s="362">
        <v>42642</v>
      </c>
      <c r="P678" s="362">
        <v>42642</v>
      </c>
    </row>
    <row r="679" spans="1:16" ht="14.25">
      <c r="A679" s="356">
        <v>2016</v>
      </c>
      <c r="B679" s="357" t="s">
        <v>476</v>
      </c>
      <c r="C679" s="357" t="s">
        <v>477</v>
      </c>
      <c r="D679" s="358">
        <v>1021011</v>
      </c>
      <c r="E679" s="358">
        <v>1</v>
      </c>
      <c r="F679" s="358"/>
      <c r="G679" s="358">
        <v>761</v>
      </c>
      <c r="H679" s="358" t="s">
        <v>202</v>
      </c>
      <c r="I679" s="358"/>
      <c r="J679" s="358" t="s">
        <v>203</v>
      </c>
      <c r="K679" s="359" t="b">
        <f t="shared" si="24"/>
        <v>1</v>
      </c>
      <c r="L679" s="359">
        <v>1</v>
      </c>
      <c r="M679" s="360">
        <v>2017</v>
      </c>
      <c r="N679" s="361">
        <v>0</v>
      </c>
      <c r="O679" s="362">
        <v>42642</v>
      </c>
      <c r="P679" s="362">
        <v>42642</v>
      </c>
    </row>
    <row r="680" spans="1:16" ht="14.25">
      <c r="A680" s="356">
        <v>2016</v>
      </c>
      <c r="B680" s="357" t="s">
        <v>476</v>
      </c>
      <c r="C680" s="357" t="s">
        <v>477</v>
      </c>
      <c r="D680" s="358">
        <v>1021011</v>
      </c>
      <c r="E680" s="358">
        <v>1</v>
      </c>
      <c r="F680" s="358"/>
      <c r="G680" s="358">
        <v>761</v>
      </c>
      <c r="H680" s="358" t="s">
        <v>202</v>
      </c>
      <c r="I680" s="358"/>
      <c r="J680" s="358" t="s">
        <v>203</v>
      </c>
      <c r="K680" s="359" t="b">
        <f t="shared" si="24"/>
        <v>1</v>
      </c>
      <c r="L680" s="359">
        <v>4</v>
      </c>
      <c r="M680" s="360">
        <v>2020</v>
      </c>
      <c r="N680" s="361">
        <v>0</v>
      </c>
      <c r="O680" s="362">
        <v>42642</v>
      </c>
      <c r="P680" s="362">
        <v>42642</v>
      </c>
    </row>
    <row r="681" spans="1:16" ht="14.25">
      <c r="A681" s="356">
        <v>2016</v>
      </c>
      <c r="B681" s="357" t="s">
        <v>476</v>
      </c>
      <c r="C681" s="357" t="s">
        <v>477</v>
      </c>
      <c r="D681" s="358">
        <v>1021011</v>
      </c>
      <c r="E681" s="358">
        <v>1</v>
      </c>
      <c r="F681" s="358"/>
      <c r="G681" s="358">
        <v>761</v>
      </c>
      <c r="H681" s="358" t="s">
        <v>202</v>
      </c>
      <c r="I681" s="358"/>
      <c r="J681" s="358" t="s">
        <v>203</v>
      </c>
      <c r="K681" s="359" t="b">
        <f t="shared" si="24"/>
        <v>1</v>
      </c>
      <c r="L681" s="359">
        <v>7</v>
      </c>
      <c r="M681" s="360">
        <v>2023</v>
      </c>
      <c r="N681" s="361">
        <v>0</v>
      </c>
      <c r="O681" s="362">
        <v>42642</v>
      </c>
      <c r="P681" s="362">
        <v>42642</v>
      </c>
    </row>
    <row r="682" spans="1:16" ht="14.25">
      <c r="A682" s="356">
        <v>2016</v>
      </c>
      <c r="B682" s="357" t="s">
        <v>476</v>
      </c>
      <c r="C682" s="357" t="s">
        <v>477</v>
      </c>
      <c r="D682" s="358">
        <v>1021011</v>
      </c>
      <c r="E682" s="358">
        <v>1</v>
      </c>
      <c r="F682" s="358"/>
      <c r="G682" s="358">
        <v>761</v>
      </c>
      <c r="H682" s="358" t="s">
        <v>202</v>
      </c>
      <c r="I682" s="358"/>
      <c r="J682" s="358" t="s">
        <v>203</v>
      </c>
      <c r="K682" s="359" t="b">
        <f t="shared" si="24"/>
        <v>1</v>
      </c>
      <c r="L682" s="359">
        <v>0</v>
      </c>
      <c r="M682" s="360">
        <v>2016</v>
      </c>
      <c r="N682" s="361">
        <v>0</v>
      </c>
      <c r="O682" s="362">
        <v>42642</v>
      </c>
      <c r="P682" s="362">
        <v>42642</v>
      </c>
    </row>
    <row r="683" spans="1:16" ht="14.25">
      <c r="A683" s="356">
        <v>2016</v>
      </c>
      <c r="B683" s="357" t="s">
        <v>476</v>
      </c>
      <c r="C683" s="357" t="s">
        <v>477</v>
      </c>
      <c r="D683" s="358">
        <v>1021011</v>
      </c>
      <c r="E683" s="358">
        <v>1</v>
      </c>
      <c r="F683" s="358"/>
      <c r="G683" s="358">
        <v>761</v>
      </c>
      <c r="H683" s="358" t="s">
        <v>202</v>
      </c>
      <c r="I683" s="358"/>
      <c r="J683" s="358" t="s">
        <v>203</v>
      </c>
      <c r="K683" s="359" t="b">
        <f t="shared" si="24"/>
        <v>1</v>
      </c>
      <c r="L683" s="359">
        <v>2</v>
      </c>
      <c r="M683" s="360">
        <v>2018</v>
      </c>
      <c r="N683" s="361">
        <v>0</v>
      </c>
      <c r="O683" s="362">
        <v>42642</v>
      </c>
      <c r="P683" s="362">
        <v>42642</v>
      </c>
    </row>
    <row r="684" spans="1:16" ht="14.25">
      <c r="A684" s="356">
        <v>2016</v>
      </c>
      <c r="B684" s="357" t="s">
        <v>476</v>
      </c>
      <c r="C684" s="357" t="s">
        <v>477</v>
      </c>
      <c r="D684" s="358">
        <v>1021011</v>
      </c>
      <c r="E684" s="358">
        <v>1</v>
      </c>
      <c r="F684" s="358"/>
      <c r="G684" s="358">
        <v>761</v>
      </c>
      <c r="H684" s="358" t="s">
        <v>202</v>
      </c>
      <c r="I684" s="358"/>
      <c r="J684" s="358" t="s">
        <v>203</v>
      </c>
      <c r="K684" s="359" t="b">
        <f t="shared" si="24"/>
        <v>1</v>
      </c>
      <c r="L684" s="359">
        <v>6</v>
      </c>
      <c r="M684" s="360">
        <v>2022</v>
      </c>
      <c r="N684" s="361">
        <v>0</v>
      </c>
      <c r="O684" s="362">
        <v>42642</v>
      </c>
      <c r="P684" s="362">
        <v>42642</v>
      </c>
    </row>
    <row r="685" spans="1:16" ht="14.25">
      <c r="A685" s="356">
        <v>2016</v>
      </c>
      <c r="B685" s="357" t="s">
        <v>476</v>
      </c>
      <c r="C685" s="357" t="s">
        <v>477</v>
      </c>
      <c r="D685" s="358">
        <v>1021011</v>
      </c>
      <c r="E685" s="358">
        <v>1</v>
      </c>
      <c r="F685" s="358"/>
      <c r="G685" s="358">
        <v>761</v>
      </c>
      <c r="H685" s="358" t="s">
        <v>202</v>
      </c>
      <c r="I685" s="358"/>
      <c r="J685" s="358" t="s">
        <v>203</v>
      </c>
      <c r="K685" s="359" t="b">
        <f t="shared" si="24"/>
        <v>1</v>
      </c>
      <c r="L685" s="359">
        <v>5</v>
      </c>
      <c r="M685" s="360">
        <v>2021</v>
      </c>
      <c r="N685" s="361">
        <v>0</v>
      </c>
      <c r="O685" s="362">
        <v>42642</v>
      </c>
      <c r="P685" s="362">
        <v>42642</v>
      </c>
    </row>
    <row r="686" spans="1:16" ht="14.25">
      <c r="A686" s="356">
        <v>2016</v>
      </c>
      <c r="B686" s="357" t="s">
        <v>476</v>
      </c>
      <c r="C686" s="357" t="s">
        <v>477</v>
      </c>
      <c r="D686" s="358">
        <v>1021011</v>
      </c>
      <c r="E686" s="358">
        <v>1</v>
      </c>
      <c r="F686" s="358"/>
      <c r="G686" s="358">
        <v>761</v>
      </c>
      <c r="H686" s="358" t="s">
        <v>202</v>
      </c>
      <c r="I686" s="358"/>
      <c r="J686" s="358" t="s">
        <v>203</v>
      </c>
      <c r="K686" s="359" t="b">
        <f t="shared" si="24"/>
        <v>1</v>
      </c>
      <c r="L686" s="359">
        <v>3</v>
      </c>
      <c r="M686" s="360">
        <v>2019</v>
      </c>
      <c r="N686" s="361">
        <v>0</v>
      </c>
      <c r="O686" s="362">
        <v>42642</v>
      </c>
      <c r="P686" s="362">
        <v>42642</v>
      </c>
    </row>
    <row r="687" spans="1:16" ht="14.25">
      <c r="A687" s="356">
        <v>2016</v>
      </c>
      <c r="B687" s="357" t="s">
        <v>476</v>
      </c>
      <c r="C687" s="357" t="s">
        <v>477</v>
      </c>
      <c r="D687" s="358">
        <v>1021011</v>
      </c>
      <c r="E687" s="358">
        <v>1</v>
      </c>
      <c r="F687" s="358"/>
      <c r="G687" s="358">
        <v>761</v>
      </c>
      <c r="H687" s="358" t="s">
        <v>202</v>
      </c>
      <c r="I687" s="358"/>
      <c r="J687" s="358" t="s">
        <v>203</v>
      </c>
      <c r="K687" s="359" t="b">
        <f t="shared" si="24"/>
        <v>1</v>
      </c>
      <c r="L687" s="359">
        <v>8</v>
      </c>
      <c r="M687" s="360">
        <v>2024</v>
      </c>
      <c r="N687" s="361">
        <v>0</v>
      </c>
      <c r="O687" s="362">
        <v>42642</v>
      </c>
      <c r="P687" s="362">
        <v>42642</v>
      </c>
    </row>
    <row r="688" spans="1:16" ht="14.25">
      <c r="A688" s="356">
        <v>2016</v>
      </c>
      <c r="B688" s="357" t="s">
        <v>476</v>
      </c>
      <c r="C688" s="357" t="s">
        <v>477</v>
      </c>
      <c r="D688" s="358">
        <v>1021011</v>
      </c>
      <c r="E688" s="358">
        <v>1</v>
      </c>
      <c r="F688" s="358"/>
      <c r="G688" s="358">
        <v>310</v>
      </c>
      <c r="H688" s="358">
        <v>5.1</v>
      </c>
      <c r="I688" s="358"/>
      <c r="J688" s="358" t="s">
        <v>90</v>
      </c>
      <c r="K688" s="359" t="b">
        <f t="shared" si="24"/>
        <v>1</v>
      </c>
      <c r="L688" s="359">
        <v>2</v>
      </c>
      <c r="M688" s="360">
        <v>2018</v>
      </c>
      <c r="N688" s="361">
        <v>1678204</v>
      </c>
      <c r="O688" s="362">
        <v>42642</v>
      </c>
      <c r="P688" s="362">
        <v>42642</v>
      </c>
    </row>
    <row r="689" spans="1:16" ht="14.25">
      <c r="A689" s="356">
        <v>2016</v>
      </c>
      <c r="B689" s="357" t="s">
        <v>476</v>
      </c>
      <c r="C689" s="357" t="s">
        <v>477</v>
      </c>
      <c r="D689" s="358">
        <v>1021011</v>
      </c>
      <c r="E689" s="358">
        <v>1</v>
      </c>
      <c r="F689" s="358"/>
      <c r="G689" s="358">
        <v>310</v>
      </c>
      <c r="H689" s="358">
        <v>5.1</v>
      </c>
      <c r="I689" s="358"/>
      <c r="J689" s="358" t="s">
        <v>90</v>
      </c>
      <c r="K689" s="359" t="b">
        <f t="shared" si="24"/>
        <v>1</v>
      </c>
      <c r="L689" s="359">
        <v>7</v>
      </c>
      <c r="M689" s="360">
        <v>2023</v>
      </c>
      <c r="N689" s="361">
        <v>2418000</v>
      </c>
      <c r="O689" s="362">
        <v>42642</v>
      </c>
      <c r="P689" s="362">
        <v>42642</v>
      </c>
    </row>
    <row r="690" spans="1:16" ht="14.25">
      <c r="A690" s="356">
        <v>2016</v>
      </c>
      <c r="B690" s="357" t="s">
        <v>476</v>
      </c>
      <c r="C690" s="357" t="s">
        <v>477</v>
      </c>
      <c r="D690" s="358">
        <v>1021011</v>
      </c>
      <c r="E690" s="358">
        <v>1</v>
      </c>
      <c r="F690" s="358"/>
      <c r="G690" s="358">
        <v>310</v>
      </c>
      <c r="H690" s="358">
        <v>5.1</v>
      </c>
      <c r="I690" s="358"/>
      <c r="J690" s="358" t="s">
        <v>90</v>
      </c>
      <c r="K690" s="359" t="b">
        <f t="shared" si="24"/>
        <v>1</v>
      </c>
      <c r="L690" s="359">
        <v>8</v>
      </c>
      <c r="M690" s="360">
        <v>2024</v>
      </c>
      <c r="N690" s="361">
        <v>2065692</v>
      </c>
      <c r="O690" s="362">
        <v>42642</v>
      </c>
      <c r="P690" s="362">
        <v>42642</v>
      </c>
    </row>
    <row r="691" spans="1:16" ht="14.25">
      <c r="A691" s="356">
        <v>2016</v>
      </c>
      <c r="B691" s="357" t="s">
        <v>476</v>
      </c>
      <c r="C691" s="357" t="s">
        <v>477</v>
      </c>
      <c r="D691" s="358">
        <v>1021011</v>
      </c>
      <c r="E691" s="358">
        <v>1</v>
      </c>
      <c r="F691" s="358"/>
      <c r="G691" s="358">
        <v>310</v>
      </c>
      <c r="H691" s="358">
        <v>5.1</v>
      </c>
      <c r="I691" s="358"/>
      <c r="J691" s="358" t="s">
        <v>90</v>
      </c>
      <c r="K691" s="359" t="b">
        <f t="shared" si="24"/>
        <v>1</v>
      </c>
      <c r="L691" s="359">
        <v>5</v>
      </c>
      <c r="M691" s="360">
        <v>2021</v>
      </c>
      <c r="N691" s="361">
        <v>2210004</v>
      </c>
      <c r="O691" s="362">
        <v>42642</v>
      </c>
      <c r="P691" s="362">
        <v>42642</v>
      </c>
    </row>
    <row r="692" spans="1:16" ht="14.25">
      <c r="A692" s="356">
        <v>2016</v>
      </c>
      <c r="B692" s="357" t="s">
        <v>476</v>
      </c>
      <c r="C692" s="357" t="s">
        <v>477</v>
      </c>
      <c r="D692" s="358">
        <v>1021011</v>
      </c>
      <c r="E692" s="358">
        <v>1</v>
      </c>
      <c r="F692" s="358"/>
      <c r="G692" s="358">
        <v>310</v>
      </c>
      <c r="H692" s="358">
        <v>5.1</v>
      </c>
      <c r="I692" s="358"/>
      <c r="J692" s="358" t="s">
        <v>90</v>
      </c>
      <c r="K692" s="359" t="b">
        <f t="shared" si="24"/>
        <v>1</v>
      </c>
      <c r="L692" s="359">
        <v>6</v>
      </c>
      <c r="M692" s="360">
        <v>2022</v>
      </c>
      <c r="N692" s="361">
        <v>2250004</v>
      </c>
      <c r="O692" s="362">
        <v>42642</v>
      </c>
      <c r="P692" s="362">
        <v>42642</v>
      </c>
    </row>
    <row r="693" spans="1:16" ht="14.25">
      <c r="A693" s="356">
        <v>2016</v>
      </c>
      <c r="B693" s="357" t="s">
        <v>476</v>
      </c>
      <c r="C693" s="357" t="s">
        <v>477</v>
      </c>
      <c r="D693" s="358">
        <v>1021011</v>
      </c>
      <c r="E693" s="358">
        <v>1</v>
      </c>
      <c r="F693" s="358"/>
      <c r="G693" s="358">
        <v>310</v>
      </c>
      <c r="H693" s="358">
        <v>5.1</v>
      </c>
      <c r="I693" s="358"/>
      <c r="J693" s="358" t="s">
        <v>90</v>
      </c>
      <c r="K693" s="359" t="b">
        <f t="shared" si="24"/>
        <v>1</v>
      </c>
      <c r="L693" s="359">
        <v>1</v>
      </c>
      <c r="M693" s="360">
        <v>2017</v>
      </c>
      <c r="N693" s="361">
        <v>1478204</v>
      </c>
      <c r="O693" s="362">
        <v>42642</v>
      </c>
      <c r="P693" s="362">
        <v>42642</v>
      </c>
    </row>
    <row r="694" spans="1:16" ht="14.25">
      <c r="A694" s="356">
        <v>2016</v>
      </c>
      <c r="B694" s="357" t="s">
        <v>476</v>
      </c>
      <c r="C694" s="357" t="s">
        <v>477</v>
      </c>
      <c r="D694" s="358">
        <v>1021011</v>
      </c>
      <c r="E694" s="358">
        <v>1</v>
      </c>
      <c r="F694" s="358"/>
      <c r="G694" s="358">
        <v>310</v>
      </c>
      <c r="H694" s="358">
        <v>5.1</v>
      </c>
      <c r="I694" s="358"/>
      <c r="J694" s="358" t="s">
        <v>90</v>
      </c>
      <c r="K694" s="359" t="b">
        <f t="shared" si="24"/>
        <v>1</v>
      </c>
      <c r="L694" s="359">
        <v>3</v>
      </c>
      <c r="M694" s="360">
        <v>2019</v>
      </c>
      <c r="N694" s="361">
        <v>1860004</v>
      </c>
      <c r="O694" s="362">
        <v>42642</v>
      </c>
      <c r="P694" s="362">
        <v>42642</v>
      </c>
    </row>
    <row r="695" spans="1:16" ht="14.25">
      <c r="A695" s="356">
        <v>2016</v>
      </c>
      <c r="B695" s="357" t="s">
        <v>476</v>
      </c>
      <c r="C695" s="357" t="s">
        <v>477</v>
      </c>
      <c r="D695" s="358">
        <v>1021011</v>
      </c>
      <c r="E695" s="358">
        <v>1</v>
      </c>
      <c r="F695" s="358"/>
      <c r="G695" s="358">
        <v>310</v>
      </c>
      <c r="H695" s="358">
        <v>5.1</v>
      </c>
      <c r="I695" s="358"/>
      <c r="J695" s="358" t="s">
        <v>90</v>
      </c>
      <c r="K695" s="359" t="b">
        <f t="shared" si="24"/>
        <v>1</v>
      </c>
      <c r="L695" s="359">
        <v>0</v>
      </c>
      <c r="M695" s="360">
        <v>2016</v>
      </c>
      <c r="N695" s="361">
        <v>1215692</v>
      </c>
      <c r="O695" s="362">
        <v>42642</v>
      </c>
      <c r="P695" s="362">
        <v>42642</v>
      </c>
    </row>
    <row r="696" spans="1:16" ht="14.25">
      <c r="A696" s="356">
        <v>2016</v>
      </c>
      <c r="B696" s="357" t="s">
        <v>476</v>
      </c>
      <c r="C696" s="357" t="s">
        <v>477</v>
      </c>
      <c r="D696" s="358">
        <v>1021011</v>
      </c>
      <c r="E696" s="358">
        <v>1</v>
      </c>
      <c r="F696" s="358"/>
      <c r="G696" s="358">
        <v>310</v>
      </c>
      <c r="H696" s="358">
        <v>5.1</v>
      </c>
      <c r="I696" s="358"/>
      <c r="J696" s="358" t="s">
        <v>90</v>
      </c>
      <c r="K696" s="359" t="b">
        <f t="shared" si="24"/>
        <v>1</v>
      </c>
      <c r="L696" s="359">
        <v>4</v>
      </c>
      <c r="M696" s="360">
        <v>2020</v>
      </c>
      <c r="N696" s="361">
        <v>2210004</v>
      </c>
      <c r="O696" s="362">
        <v>42642</v>
      </c>
      <c r="P696" s="362">
        <v>42642</v>
      </c>
    </row>
    <row r="697" spans="1:16" ht="14.25">
      <c r="A697" s="356">
        <v>2016</v>
      </c>
      <c r="B697" s="357" t="s">
        <v>476</v>
      </c>
      <c r="C697" s="357" t="s">
        <v>477</v>
      </c>
      <c r="D697" s="358">
        <v>1021011</v>
      </c>
      <c r="E697" s="358">
        <v>1</v>
      </c>
      <c r="F697" s="358"/>
      <c r="G697" s="358">
        <v>80</v>
      </c>
      <c r="H697" s="358" t="s">
        <v>28</v>
      </c>
      <c r="I697" s="358"/>
      <c r="J697" s="358" t="s">
        <v>29</v>
      </c>
      <c r="K697" s="359" t="b">
        <f t="shared" si="24"/>
        <v>1</v>
      </c>
      <c r="L697" s="359">
        <v>0</v>
      </c>
      <c r="M697" s="360">
        <v>2016</v>
      </c>
      <c r="N697" s="361">
        <v>12188353.84</v>
      </c>
      <c r="O697" s="362">
        <v>42642</v>
      </c>
      <c r="P697" s="362">
        <v>42642</v>
      </c>
    </row>
    <row r="698" spans="1:16" ht="14.25">
      <c r="A698" s="356">
        <v>2016</v>
      </c>
      <c r="B698" s="357" t="s">
        <v>476</v>
      </c>
      <c r="C698" s="357" t="s">
        <v>477</v>
      </c>
      <c r="D698" s="358">
        <v>1021011</v>
      </c>
      <c r="E698" s="358">
        <v>1</v>
      </c>
      <c r="F698" s="358"/>
      <c r="G698" s="358">
        <v>80</v>
      </c>
      <c r="H698" s="358" t="s">
        <v>28</v>
      </c>
      <c r="I698" s="358"/>
      <c r="J698" s="358" t="s">
        <v>29</v>
      </c>
      <c r="K698" s="359" t="b">
        <f t="shared" si="24"/>
        <v>1</v>
      </c>
      <c r="L698" s="359">
        <v>6</v>
      </c>
      <c r="M698" s="360">
        <v>2022</v>
      </c>
      <c r="N698" s="361">
        <v>0</v>
      </c>
      <c r="O698" s="362">
        <v>42642</v>
      </c>
      <c r="P698" s="362">
        <v>42642</v>
      </c>
    </row>
    <row r="699" spans="1:16" ht="14.25">
      <c r="A699" s="356">
        <v>2016</v>
      </c>
      <c r="B699" s="357" t="s">
        <v>476</v>
      </c>
      <c r="C699" s="357" t="s">
        <v>477</v>
      </c>
      <c r="D699" s="358">
        <v>1021011</v>
      </c>
      <c r="E699" s="358">
        <v>1</v>
      </c>
      <c r="F699" s="358"/>
      <c r="G699" s="358">
        <v>80</v>
      </c>
      <c r="H699" s="358" t="s">
        <v>28</v>
      </c>
      <c r="I699" s="358"/>
      <c r="J699" s="358" t="s">
        <v>29</v>
      </c>
      <c r="K699" s="359" t="b">
        <f t="shared" si="24"/>
        <v>1</v>
      </c>
      <c r="L699" s="359">
        <v>3</v>
      </c>
      <c r="M699" s="360">
        <v>2019</v>
      </c>
      <c r="N699" s="361">
        <v>10400000</v>
      </c>
      <c r="O699" s="362">
        <v>42642</v>
      </c>
      <c r="P699" s="362">
        <v>42642</v>
      </c>
    </row>
    <row r="700" spans="1:16" ht="14.25">
      <c r="A700" s="356">
        <v>2016</v>
      </c>
      <c r="B700" s="357" t="s">
        <v>476</v>
      </c>
      <c r="C700" s="357" t="s">
        <v>477</v>
      </c>
      <c r="D700" s="358">
        <v>1021011</v>
      </c>
      <c r="E700" s="358">
        <v>1</v>
      </c>
      <c r="F700" s="358"/>
      <c r="G700" s="358">
        <v>80</v>
      </c>
      <c r="H700" s="358" t="s">
        <v>28</v>
      </c>
      <c r="I700" s="358"/>
      <c r="J700" s="358" t="s">
        <v>29</v>
      </c>
      <c r="K700" s="359" t="b">
        <f t="shared" si="24"/>
        <v>1</v>
      </c>
      <c r="L700" s="359">
        <v>5</v>
      </c>
      <c r="M700" s="360">
        <v>2021</v>
      </c>
      <c r="N700" s="361">
        <v>0</v>
      </c>
      <c r="O700" s="362">
        <v>42642</v>
      </c>
      <c r="P700" s="362">
        <v>42642</v>
      </c>
    </row>
    <row r="701" spans="1:16" ht="14.25">
      <c r="A701" s="356">
        <v>2016</v>
      </c>
      <c r="B701" s="357" t="s">
        <v>476</v>
      </c>
      <c r="C701" s="357" t="s">
        <v>477</v>
      </c>
      <c r="D701" s="358">
        <v>1021011</v>
      </c>
      <c r="E701" s="358">
        <v>1</v>
      </c>
      <c r="F701" s="358"/>
      <c r="G701" s="358">
        <v>80</v>
      </c>
      <c r="H701" s="358" t="s">
        <v>28</v>
      </c>
      <c r="I701" s="358"/>
      <c r="J701" s="358" t="s">
        <v>29</v>
      </c>
      <c r="K701" s="359" t="b">
        <f t="shared" si="24"/>
        <v>1</v>
      </c>
      <c r="L701" s="359">
        <v>1</v>
      </c>
      <c r="M701" s="360">
        <v>2017</v>
      </c>
      <c r="N701" s="361">
        <v>10211792</v>
      </c>
      <c r="O701" s="362">
        <v>42642</v>
      </c>
      <c r="P701" s="362">
        <v>42642</v>
      </c>
    </row>
    <row r="702" spans="1:16" ht="14.25">
      <c r="A702" s="356">
        <v>2016</v>
      </c>
      <c r="B702" s="357" t="s">
        <v>476</v>
      </c>
      <c r="C702" s="357" t="s">
        <v>477</v>
      </c>
      <c r="D702" s="358">
        <v>1021011</v>
      </c>
      <c r="E702" s="358">
        <v>1</v>
      </c>
      <c r="F702" s="358"/>
      <c r="G702" s="358">
        <v>80</v>
      </c>
      <c r="H702" s="358" t="s">
        <v>28</v>
      </c>
      <c r="I702" s="358"/>
      <c r="J702" s="358" t="s">
        <v>29</v>
      </c>
      <c r="K702" s="359" t="b">
        <f t="shared" si="24"/>
        <v>1</v>
      </c>
      <c r="L702" s="359">
        <v>4</v>
      </c>
      <c r="M702" s="360">
        <v>2020</v>
      </c>
      <c r="N702" s="361">
        <v>0</v>
      </c>
      <c r="O702" s="362">
        <v>42642</v>
      </c>
      <c r="P702" s="362">
        <v>42642</v>
      </c>
    </row>
    <row r="703" spans="1:16" ht="14.25">
      <c r="A703" s="356">
        <v>2016</v>
      </c>
      <c r="B703" s="357" t="s">
        <v>476</v>
      </c>
      <c r="C703" s="357" t="s">
        <v>477</v>
      </c>
      <c r="D703" s="358">
        <v>1021011</v>
      </c>
      <c r="E703" s="358">
        <v>1</v>
      </c>
      <c r="F703" s="358"/>
      <c r="G703" s="358">
        <v>80</v>
      </c>
      <c r="H703" s="358" t="s">
        <v>28</v>
      </c>
      <c r="I703" s="358"/>
      <c r="J703" s="358" t="s">
        <v>29</v>
      </c>
      <c r="K703" s="359" t="b">
        <f t="shared" si="24"/>
        <v>1</v>
      </c>
      <c r="L703" s="359">
        <v>7</v>
      </c>
      <c r="M703" s="360">
        <v>2023</v>
      </c>
      <c r="N703" s="361">
        <v>0</v>
      </c>
      <c r="O703" s="362">
        <v>42642</v>
      </c>
      <c r="P703" s="362">
        <v>42642</v>
      </c>
    </row>
    <row r="704" spans="1:16" ht="14.25">
      <c r="A704" s="356">
        <v>2016</v>
      </c>
      <c r="B704" s="357" t="s">
        <v>476</v>
      </c>
      <c r="C704" s="357" t="s">
        <v>477</v>
      </c>
      <c r="D704" s="358">
        <v>1021011</v>
      </c>
      <c r="E704" s="358">
        <v>1</v>
      </c>
      <c r="F704" s="358"/>
      <c r="G704" s="358">
        <v>80</v>
      </c>
      <c r="H704" s="358" t="s">
        <v>28</v>
      </c>
      <c r="I704" s="358"/>
      <c r="J704" s="358" t="s">
        <v>29</v>
      </c>
      <c r="K704" s="359" t="b">
        <f t="shared" si="24"/>
        <v>1</v>
      </c>
      <c r="L704" s="359">
        <v>8</v>
      </c>
      <c r="M704" s="360">
        <v>2024</v>
      </c>
      <c r="N704" s="361">
        <v>0</v>
      </c>
      <c r="O704" s="362">
        <v>42642</v>
      </c>
      <c r="P704" s="362">
        <v>42642</v>
      </c>
    </row>
    <row r="705" spans="1:16" ht="14.25">
      <c r="A705" s="356">
        <v>2016</v>
      </c>
      <c r="B705" s="357" t="s">
        <v>476</v>
      </c>
      <c r="C705" s="357" t="s">
        <v>477</v>
      </c>
      <c r="D705" s="358">
        <v>1021011</v>
      </c>
      <c r="E705" s="358">
        <v>1</v>
      </c>
      <c r="F705" s="358"/>
      <c r="G705" s="358">
        <v>80</v>
      </c>
      <c r="H705" s="358" t="s">
        <v>28</v>
      </c>
      <c r="I705" s="358"/>
      <c r="J705" s="358" t="s">
        <v>29</v>
      </c>
      <c r="K705" s="359" t="b">
        <f t="shared" si="24"/>
        <v>1</v>
      </c>
      <c r="L705" s="359">
        <v>2</v>
      </c>
      <c r="M705" s="360">
        <v>2018</v>
      </c>
      <c r="N705" s="361">
        <v>10300000</v>
      </c>
      <c r="O705" s="362">
        <v>42642</v>
      </c>
      <c r="P705" s="362">
        <v>42642</v>
      </c>
    </row>
    <row r="706" spans="1:16" ht="14.25">
      <c r="A706" s="356">
        <v>2016</v>
      </c>
      <c r="B706" s="357" t="s">
        <v>476</v>
      </c>
      <c r="C706" s="357" t="s">
        <v>477</v>
      </c>
      <c r="D706" s="358">
        <v>1021011</v>
      </c>
      <c r="E706" s="358">
        <v>1</v>
      </c>
      <c r="F706" s="358"/>
      <c r="G706" s="358">
        <v>760</v>
      </c>
      <c r="H706" s="358">
        <v>12.4</v>
      </c>
      <c r="I706" s="358"/>
      <c r="J706" s="358" t="s">
        <v>200</v>
      </c>
      <c r="K706" s="359" t="b">
        <f t="shared" si="24"/>
        <v>1</v>
      </c>
      <c r="L706" s="359">
        <v>5</v>
      </c>
      <c r="M706" s="360">
        <v>2021</v>
      </c>
      <c r="N706" s="361">
        <v>0</v>
      </c>
      <c r="O706" s="362">
        <v>42642</v>
      </c>
      <c r="P706" s="362">
        <v>42642</v>
      </c>
    </row>
    <row r="707" spans="1:16" ht="14.25">
      <c r="A707" s="356">
        <v>2016</v>
      </c>
      <c r="B707" s="357" t="s">
        <v>476</v>
      </c>
      <c r="C707" s="357" t="s">
        <v>477</v>
      </c>
      <c r="D707" s="358">
        <v>1021011</v>
      </c>
      <c r="E707" s="358">
        <v>1</v>
      </c>
      <c r="F707" s="358"/>
      <c r="G707" s="358">
        <v>760</v>
      </c>
      <c r="H707" s="358">
        <v>12.4</v>
      </c>
      <c r="I707" s="358"/>
      <c r="J707" s="358" t="s">
        <v>200</v>
      </c>
      <c r="K707" s="359" t="b">
        <f t="shared" si="24"/>
        <v>1</v>
      </c>
      <c r="L707" s="359">
        <v>4</v>
      </c>
      <c r="M707" s="360">
        <v>2020</v>
      </c>
      <c r="N707" s="361">
        <v>0</v>
      </c>
      <c r="O707" s="362">
        <v>42642</v>
      </c>
      <c r="P707" s="362">
        <v>42642</v>
      </c>
    </row>
    <row r="708" spans="1:16" ht="14.25">
      <c r="A708" s="356">
        <v>2016</v>
      </c>
      <c r="B708" s="357" t="s">
        <v>476</v>
      </c>
      <c r="C708" s="357" t="s">
        <v>477</v>
      </c>
      <c r="D708" s="358">
        <v>1021011</v>
      </c>
      <c r="E708" s="358">
        <v>1</v>
      </c>
      <c r="F708" s="358"/>
      <c r="G708" s="358">
        <v>760</v>
      </c>
      <c r="H708" s="358">
        <v>12.4</v>
      </c>
      <c r="I708" s="358"/>
      <c r="J708" s="358" t="s">
        <v>200</v>
      </c>
      <c r="K708" s="359" t="b">
        <f t="shared" si="24"/>
        <v>1</v>
      </c>
      <c r="L708" s="359">
        <v>2</v>
      </c>
      <c r="M708" s="360">
        <v>2018</v>
      </c>
      <c r="N708" s="361">
        <v>0</v>
      </c>
      <c r="O708" s="362">
        <v>42642</v>
      </c>
      <c r="P708" s="362">
        <v>42642</v>
      </c>
    </row>
    <row r="709" spans="1:16" ht="14.25">
      <c r="A709" s="356">
        <v>2016</v>
      </c>
      <c r="B709" s="357" t="s">
        <v>476</v>
      </c>
      <c r="C709" s="357" t="s">
        <v>477</v>
      </c>
      <c r="D709" s="358">
        <v>1021011</v>
      </c>
      <c r="E709" s="358">
        <v>1</v>
      </c>
      <c r="F709" s="358"/>
      <c r="G709" s="358">
        <v>760</v>
      </c>
      <c r="H709" s="358">
        <v>12.4</v>
      </c>
      <c r="I709" s="358"/>
      <c r="J709" s="358" t="s">
        <v>200</v>
      </c>
      <c r="K709" s="359" t="b">
        <f t="shared" si="24"/>
        <v>1</v>
      </c>
      <c r="L709" s="359">
        <v>0</v>
      </c>
      <c r="M709" s="360">
        <v>2016</v>
      </c>
      <c r="N709" s="361">
        <v>0</v>
      </c>
      <c r="O709" s="362">
        <v>42642</v>
      </c>
      <c r="P709" s="362">
        <v>42642</v>
      </c>
    </row>
    <row r="710" spans="1:16" ht="14.25">
      <c r="A710" s="356">
        <v>2016</v>
      </c>
      <c r="B710" s="357" t="s">
        <v>476</v>
      </c>
      <c r="C710" s="357" t="s">
        <v>477</v>
      </c>
      <c r="D710" s="358">
        <v>1021011</v>
      </c>
      <c r="E710" s="358">
        <v>1</v>
      </c>
      <c r="F710" s="358"/>
      <c r="G710" s="358">
        <v>760</v>
      </c>
      <c r="H710" s="358">
        <v>12.4</v>
      </c>
      <c r="I710" s="358"/>
      <c r="J710" s="358" t="s">
        <v>200</v>
      </c>
      <c r="K710" s="359" t="b">
        <f t="shared" si="24"/>
        <v>1</v>
      </c>
      <c r="L710" s="359">
        <v>6</v>
      </c>
      <c r="M710" s="360">
        <v>2022</v>
      </c>
      <c r="N710" s="361">
        <v>0</v>
      </c>
      <c r="O710" s="362">
        <v>42642</v>
      </c>
      <c r="P710" s="362">
        <v>42642</v>
      </c>
    </row>
    <row r="711" spans="1:16" ht="14.25">
      <c r="A711" s="356">
        <v>2016</v>
      </c>
      <c r="B711" s="357" t="s">
        <v>476</v>
      </c>
      <c r="C711" s="357" t="s">
        <v>477</v>
      </c>
      <c r="D711" s="358">
        <v>1021011</v>
      </c>
      <c r="E711" s="358">
        <v>1</v>
      </c>
      <c r="F711" s="358"/>
      <c r="G711" s="358">
        <v>760</v>
      </c>
      <c r="H711" s="358">
        <v>12.4</v>
      </c>
      <c r="I711" s="358"/>
      <c r="J711" s="358" t="s">
        <v>200</v>
      </c>
      <c r="K711" s="359" t="b">
        <f t="shared" si="24"/>
        <v>1</v>
      </c>
      <c r="L711" s="359">
        <v>7</v>
      </c>
      <c r="M711" s="360">
        <v>2023</v>
      </c>
      <c r="N711" s="361">
        <v>0</v>
      </c>
      <c r="O711" s="362">
        <v>42642</v>
      </c>
      <c r="P711" s="362">
        <v>42642</v>
      </c>
    </row>
    <row r="712" spans="1:16" ht="14.25">
      <c r="A712" s="356">
        <v>2016</v>
      </c>
      <c r="B712" s="357" t="s">
        <v>476</v>
      </c>
      <c r="C712" s="357" t="s">
        <v>477</v>
      </c>
      <c r="D712" s="358">
        <v>1021011</v>
      </c>
      <c r="E712" s="358">
        <v>1</v>
      </c>
      <c r="F712" s="358"/>
      <c r="G712" s="358">
        <v>760</v>
      </c>
      <c r="H712" s="358">
        <v>12.4</v>
      </c>
      <c r="I712" s="358"/>
      <c r="J712" s="358" t="s">
        <v>200</v>
      </c>
      <c r="K712" s="359" t="b">
        <f t="shared" si="24"/>
        <v>1</v>
      </c>
      <c r="L712" s="359">
        <v>8</v>
      </c>
      <c r="M712" s="360">
        <v>2024</v>
      </c>
      <c r="N712" s="361">
        <v>0</v>
      </c>
      <c r="O712" s="362">
        <v>42642</v>
      </c>
      <c r="P712" s="362">
        <v>42642</v>
      </c>
    </row>
    <row r="713" spans="1:16" ht="14.25">
      <c r="A713" s="356">
        <v>2016</v>
      </c>
      <c r="B713" s="357" t="s">
        <v>476</v>
      </c>
      <c r="C713" s="357" t="s">
        <v>477</v>
      </c>
      <c r="D713" s="358">
        <v>1021011</v>
      </c>
      <c r="E713" s="358">
        <v>1</v>
      </c>
      <c r="F713" s="358"/>
      <c r="G713" s="358">
        <v>760</v>
      </c>
      <c r="H713" s="358">
        <v>12.4</v>
      </c>
      <c r="I713" s="358"/>
      <c r="J713" s="358" t="s">
        <v>200</v>
      </c>
      <c r="K713" s="359" t="b">
        <f t="shared" si="24"/>
        <v>1</v>
      </c>
      <c r="L713" s="359">
        <v>3</v>
      </c>
      <c r="M713" s="360">
        <v>2019</v>
      </c>
      <c r="N713" s="361">
        <v>0</v>
      </c>
      <c r="O713" s="362">
        <v>42642</v>
      </c>
      <c r="P713" s="362">
        <v>42642</v>
      </c>
    </row>
    <row r="714" spans="1:16" ht="14.25">
      <c r="A714" s="356">
        <v>2016</v>
      </c>
      <c r="B714" s="357" t="s">
        <v>476</v>
      </c>
      <c r="C714" s="357" t="s">
        <v>477</v>
      </c>
      <c r="D714" s="358">
        <v>1021011</v>
      </c>
      <c r="E714" s="358">
        <v>1</v>
      </c>
      <c r="F714" s="358"/>
      <c r="G714" s="358">
        <v>760</v>
      </c>
      <c r="H714" s="358">
        <v>12.4</v>
      </c>
      <c r="I714" s="358"/>
      <c r="J714" s="358" t="s">
        <v>200</v>
      </c>
      <c r="K714" s="359" t="b">
        <f t="shared" si="24"/>
        <v>1</v>
      </c>
      <c r="L714" s="359">
        <v>1</v>
      </c>
      <c r="M714" s="360">
        <v>2017</v>
      </c>
      <c r="N714" s="361">
        <v>0</v>
      </c>
      <c r="O714" s="362">
        <v>42642</v>
      </c>
      <c r="P714" s="362">
        <v>42642</v>
      </c>
    </row>
    <row r="715" spans="1:16" ht="14.25">
      <c r="A715" s="356">
        <v>2016</v>
      </c>
      <c r="B715" s="357" t="s">
        <v>476</v>
      </c>
      <c r="C715" s="357" t="s">
        <v>477</v>
      </c>
      <c r="D715" s="358">
        <v>1021011</v>
      </c>
      <c r="E715" s="358">
        <v>1</v>
      </c>
      <c r="F715" s="358"/>
      <c r="G715" s="358">
        <v>640</v>
      </c>
      <c r="H715" s="358">
        <v>11.5</v>
      </c>
      <c r="I715" s="358"/>
      <c r="J715" s="358" t="s">
        <v>167</v>
      </c>
      <c r="K715" s="359" t="b">
        <f t="shared" si="24"/>
        <v>1</v>
      </c>
      <c r="L715" s="359">
        <v>5</v>
      </c>
      <c r="M715" s="360">
        <v>2021</v>
      </c>
      <c r="N715" s="361">
        <v>0</v>
      </c>
      <c r="O715" s="362">
        <v>42642</v>
      </c>
      <c r="P715" s="362">
        <v>42642</v>
      </c>
    </row>
    <row r="716" spans="1:16" ht="14.25">
      <c r="A716" s="356">
        <v>2016</v>
      </c>
      <c r="B716" s="357" t="s">
        <v>476</v>
      </c>
      <c r="C716" s="357" t="s">
        <v>477</v>
      </c>
      <c r="D716" s="358">
        <v>1021011</v>
      </c>
      <c r="E716" s="358">
        <v>1</v>
      </c>
      <c r="F716" s="358"/>
      <c r="G716" s="358">
        <v>640</v>
      </c>
      <c r="H716" s="358">
        <v>11.5</v>
      </c>
      <c r="I716" s="358"/>
      <c r="J716" s="358" t="s">
        <v>167</v>
      </c>
      <c r="K716" s="359" t="b">
        <f t="shared" si="24"/>
        <v>1</v>
      </c>
      <c r="L716" s="359">
        <v>3</v>
      </c>
      <c r="M716" s="360">
        <v>2019</v>
      </c>
      <c r="N716" s="361">
        <v>0</v>
      </c>
      <c r="O716" s="362">
        <v>42642</v>
      </c>
      <c r="P716" s="362">
        <v>42642</v>
      </c>
    </row>
    <row r="717" spans="1:16" ht="14.25">
      <c r="A717" s="356">
        <v>2016</v>
      </c>
      <c r="B717" s="357" t="s">
        <v>476</v>
      </c>
      <c r="C717" s="357" t="s">
        <v>477</v>
      </c>
      <c r="D717" s="358">
        <v>1021011</v>
      </c>
      <c r="E717" s="358">
        <v>1</v>
      </c>
      <c r="F717" s="358"/>
      <c r="G717" s="358">
        <v>640</v>
      </c>
      <c r="H717" s="358">
        <v>11.5</v>
      </c>
      <c r="I717" s="358"/>
      <c r="J717" s="358" t="s">
        <v>167</v>
      </c>
      <c r="K717" s="359" t="b">
        <f t="shared" si="24"/>
        <v>1</v>
      </c>
      <c r="L717" s="359">
        <v>4</v>
      </c>
      <c r="M717" s="360">
        <v>2020</v>
      </c>
      <c r="N717" s="361">
        <v>0</v>
      </c>
      <c r="O717" s="362">
        <v>42642</v>
      </c>
      <c r="P717" s="362">
        <v>42642</v>
      </c>
    </row>
    <row r="718" spans="1:16" ht="14.25">
      <c r="A718" s="356">
        <v>2016</v>
      </c>
      <c r="B718" s="357" t="s">
        <v>476</v>
      </c>
      <c r="C718" s="357" t="s">
        <v>477</v>
      </c>
      <c r="D718" s="358">
        <v>1021011</v>
      </c>
      <c r="E718" s="358">
        <v>1</v>
      </c>
      <c r="F718" s="358"/>
      <c r="G718" s="358">
        <v>640</v>
      </c>
      <c r="H718" s="358">
        <v>11.5</v>
      </c>
      <c r="I718" s="358"/>
      <c r="J718" s="358" t="s">
        <v>167</v>
      </c>
      <c r="K718" s="359" t="b">
        <f t="shared" si="24"/>
        <v>1</v>
      </c>
      <c r="L718" s="359">
        <v>2</v>
      </c>
      <c r="M718" s="360">
        <v>2018</v>
      </c>
      <c r="N718" s="361">
        <v>0</v>
      </c>
      <c r="O718" s="362">
        <v>42642</v>
      </c>
      <c r="P718" s="362">
        <v>42642</v>
      </c>
    </row>
    <row r="719" spans="1:16" ht="14.25">
      <c r="A719" s="356">
        <v>2016</v>
      </c>
      <c r="B719" s="357" t="s">
        <v>476</v>
      </c>
      <c r="C719" s="357" t="s">
        <v>477</v>
      </c>
      <c r="D719" s="358">
        <v>1021011</v>
      </c>
      <c r="E719" s="358">
        <v>1</v>
      </c>
      <c r="F719" s="358"/>
      <c r="G719" s="358">
        <v>640</v>
      </c>
      <c r="H719" s="358">
        <v>11.5</v>
      </c>
      <c r="I719" s="358"/>
      <c r="J719" s="358" t="s">
        <v>167</v>
      </c>
      <c r="K719" s="359" t="b">
        <f t="shared" si="24"/>
        <v>1</v>
      </c>
      <c r="L719" s="359">
        <v>1</v>
      </c>
      <c r="M719" s="360">
        <v>2017</v>
      </c>
      <c r="N719" s="361">
        <v>0</v>
      </c>
      <c r="O719" s="362">
        <v>42642</v>
      </c>
      <c r="P719" s="362">
        <v>42642</v>
      </c>
    </row>
    <row r="720" spans="1:16" ht="14.25">
      <c r="A720" s="356">
        <v>2016</v>
      </c>
      <c r="B720" s="357" t="s">
        <v>476</v>
      </c>
      <c r="C720" s="357" t="s">
        <v>477</v>
      </c>
      <c r="D720" s="358">
        <v>1021011</v>
      </c>
      <c r="E720" s="358">
        <v>1</v>
      </c>
      <c r="F720" s="358"/>
      <c r="G720" s="358">
        <v>640</v>
      </c>
      <c r="H720" s="358">
        <v>11.5</v>
      </c>
      <c r="I720" s="358"/>
      <c r="J720" s="358" t="s">
        <v>167</v>
      </c>
      <c r="K720" s="359" t="b">
        <f t="shared" si="24"/>
        <v>1</v>
      </c>
      <c r="L720" s="359">
        <v>7</v>
      </c>
      <c r="M720" s="360">
        <v>2023</v>
      </c>
      <c r="N720" s="361">
        <v>0</v>
      </c>
      <c r="O720" s="362">
        <v>42642</v>
      </c>
      <c r="P720" s="362">
        <v>42642</v>
      </c>
    </row>
    <row r="721" spans="1:16" ht="14.25">
      <c r="A721" s="356">
        <v>2016</v>
      </c>
      <c r="B721" s="357" t="s">
        <v>476</v>
      </c>
      <c r="C721" s="357" t="s">
        <v>477</v>
      </c>
      <c r="D721" s="358">
        <v>1021011</v>
      </c>
      <c r="E721" s="358">
        <v>1</v>
      </c>
      <c r="F721" s="358"/>
      <c r="G721" s="358">
        <v>640</v>
      </c>
      <c r="H721" s="358">
        <v>11.5</v>
      </c>
      <c r="I721" s="358"/>
      <c r="J721" s="358" t="s">
        <v>167</v>
      </c>
      <c r="K721" s="359" t="b">
        <f t="shared" si="24"/>
        <v>1</v>
      </c>
      <c r="L721" s="359">
        <v>8</v>
      </c>
      <c r="M721" s="360">
        <v>2024</v>
      </c>
      <c r="N721" s="361">
        <v>0</v>
      </c>
      <c r="O721" s="362">
        <v>42642</v>
      </c>
      <c r="P721" s="362">
        <v>42642</v>
      </c>
    </row>
    <row r="722" spans="1:16" ht="14.25">
      <c r="A722" s="356">
        <v>2016</v>
      </c>
      <c r="B722" s="357" t="s">
        <v>476</v>
      </c>
      <c r="C722" s="357" t="s">
        <v>477</v>
      </c>
      <c r="D722" s="358">
        <v>1021011</v>
      </c>
      <c r="E722" s="358">
        <v>1</v>
      </c>
      <c r="F722" s="358"/>
      <c r="G722" s="358">
        <v>640</v>
      </c>
      <c r="H722" s="358">
        <v>11.5</v>
      </c>
      <c r="I722" s="358"/>
      <c r="J722" s="358" t="s">
        <v>167</v>
      </c>
      <c r="K722" s="359" t="b">
        <f t="shared" si="24"/>
        <v>1</v>
      </c>
      <c r="L722" s="359">
        <v>6</v>
      </c>
      <c r="M722" s="360">
        <v>2022</v>
      </c>
      <c r="N722" s="361">
        <v>0</v>
      </c>
      <c r="O722" s="362">
        <v>42642</v>
      </c>
      <c r="P722" s="362">
        <v>42642</v>
      </c>
    </row>
    <row r="723" spans="1:16" ht="14.25">
      <c r="A723" s="356">
        <v>2016</v>
      </c>
      <c r="B723" s="357" t="s">
        <v>476</v>
      </c>
      <c r="C723" s="357" t="s">
        <v>477</v>
      </c>
      <c r="D723" s="358">
        <v>1021011</v>
      </c>
      <c r="E723" s="358">
        <v>1</v>
      </c>
      <c r="F723" s="358"/>
      <c r="G723" s="358">
        <v>640</v>
      </c>
      <c r="H723" s="358">
        <v>11.5</v>
      </c>
      <c r="I723" s="358"/>
      <c r="J723" s="358" t="s">
        <v>167</v>
      </c>
      <c r="K723" s="359" t="b">
        <f t="shared" si="24"/>
        <v>1</v>
      </c>
      <c r="L723" s="359">
        <v>0</v>
      </c>
      <c r="M723" s="360">
        <v>2016</v>
      </c>
      <c r="N723" s="361">
        <v>2322402</v>
      </c>
      <c r="O723" s="362">
        <v>42642</v>
      </c>
      <c r="P723" s="362">
        <v>42642</v>
      </c>
    </row>
    <row r="724" spans="1:16" ht="14.25">
      <c r="A724" s="356">
        <v>2016</v>
      </c>
      <c r="B724" s="357" t="s">
        <v>476</v>
      </c>
      <c r="C724" s="357" t="s">
        <v>477</v>
      </c>
      <c r="D724" s="358">
        <v>1021011</v>
      </c>
      <c r="E724" s="358">
        <v>1</v>
      </c>
      <c r="F724" s="358"/>
      <c r="G724" s="358">
        <v>250</v>
      </c>
      <c r="H724" s="358" t="s">
        <v>79</v>
      </c>
      <c r="I724" s="358"/>
      <c r="J724" s="358" t="s">
        <v>80</v>
      </c>
      <c r="K724" s="359" t="b">
        <f aca="true" t="shared" si="25" ref="K724:K732">FALSE</f>
        <v>0</v>
      </c>
      <c r="L724" s="359">
        <v>2</v>
      </c>
      <c r="M724" s="360">
        <v>2018</v>
      </c>
      <c r="N724" s="361">
        <v>0</v>
      </c>
      <c r="O724" s="362">
        <v>42642</v>
      </c>
      <c r="P724" s="362">
        <v>42642</v>
      </c>
    </row>
    <row r="725" spans="1:16" ht="14.25">
      <c r="A725" s="356">
        <v>2016</v>
      </c>
      <c r="B725" s="357" t="s">
        <v>476</v>
      </c>
      <c r="C725" s="357" t="s">
        <v>477</v>
      </c>
      <c r="D725" s="358">
        <v>1021011</v>
      </c>
      <c r="E725" s="358">
        <v>1</v>
      </c>
      <c r="F725" s="358"/>
      <c r="G725" s="358">
        <v>250</v>
      </c>
      <c r="H725" s="358" t="s">
        <v>79</v>
      </c>
      <c r="I725" s="358"/>
      <c r="J725" s="358" t="s">
        <v>80</v>
      </c>
      <c r="K725" s="359" t="b">
        <f t="shared" si="25"/>
        <v>0</v>
      </c>
      <c r="L725" s="359">
        <v>3</v>
      </c>
      <c r="M725" s="360">
        <v>2019</v>
      </c>
      <c r="N725" s="361">
        <v>0</v>
      </c>
      <c r="O725" s="362">
        <v>42642</v>
      </c>
      <c r="P725" s="362">
        <v>42642</v>
      </c>
    </row>
    <row r="726" spans="1:16" ht="14.25">
      <c r="A726" s="356">
        <v>2016</v>
      </c>
      <c r="B726" s="357" t="s">
        <v>476</v>
      </c>
      <c r="C726" s="357" t="s">
        <v>477</v>
      </c>
      <c r="D726" s="358">
        <v>1021011</v>
      </c>
      <c r="E726" s="358">
        <v>1</v>
      </c>
      <c r="F726" s="358"/>
      <c r="G726" s="358">
        <v>250</v>
      </c>
      <c r="H726" s="358" t="s">
        <v>79</v>
      </c>
      <c r="I726" s="358"/>
      <c r="J726" s="358" t="s">
        <v>80</v>
      </c>
      <c r="K726" s="359" t="b">
        <f t="shared" si="25"/>
        <v>0</v>
      </c>
      <c r="L726" s="359">
        <v>4</v>
      </c>
      <c r="M726" s="360">
        <v>2020</v>
      </c>
      <c r="N726" s="361">
        <v>0</v>
      </c>
      <c r="O726" s="362">
        <v>42642</v>
      </c>
      <c r="P726" s="362">
        <v>42642</v>
      </c>
    </row>
    <row r="727" spans="1:16" ht="14.25">
      <c r="A727" s="356">
        <v>2016</v>
      </c>
      <c r="B727" s="357" t="s">
        <v>476</v>
      </c>
      <c r="C727" s="357" t="s">
        <v>477</v>
      </c>
      <c r="D727" s="358">
        <v>1021011</v>
      </c>
      <c r="E727" s="358">
        <v>1</v>
      </c>
      <c r="F727" s="358"/>
      <c r="G727" s="358">
        <v>250</v>
      </c>
      <c r="H727" s="358" t="s">
        <v>79</v>
      </c>
      <c r="I727" s="358"/>
      <c r="J727" s="358" t="s">
        <v>80</v>
      </c>
      <c r="K727" s="359" t="b">
        <f t="shared" si="25"/>
        <v>0</v>
      </c>
      <c r="L727" s="359">
        <v>0</v>
      </c>
      <c r="M727" s="360">
        <v>2016</v>
      </c>
      <c r="N727" s="361">
        <v>1188216.38</v>
      </c>
      <c r="O727" s="362">
        <v>42642</v>
      </c>
      <c r="P727" s="362">
        <v>42642</v>
      </c>
    </row>
    <row r="728" spans="1:16" ht="14.25">
      <c r="A728" s="356">
        <v>2016</v>
      </c>
      <c r="B728" s="357" t="s">
        <v>476</v>
      </c>
      <c r="C728" s="357" t="s">
        <v>477</v>
      </c>
      <c r="D728" s="358">
        <v>1021011</v>
      </c>
      <c r="E728" s="358">
        <v>1</v>
      </c>
      <c r="F728" s="358"/>
      <c r="G728" s="358">
        <v>250</v>
      </c>
      <c r="H728" s="358" t="s">
        <v>79</v>
      </c>
      <c r="I728" s="358"/>
      <c r="J728" s="358" t="s">
        <v>80</v>
      </c>
      <c r="K728" s="359" t="b">
        <f t="shared" si="25"/>
        <v>0</v>
      </c>
      <c r="L728" s="359">
        <v>7</v>
      </c>
      <c r="M728" s="360">
        <v>2023</v>
      </c>
      <c r="N728" s="361">
        <v>0</v>
      </c>
      <c r="O728" s="362">
        <v>42642</v>
      </c>
      <c r="P728" s="362">
        <v>42642</v>
      </c>
    </row>
    <row r="729" spans="1:16" ht="14.25">
      <c r="A729" s="356">
        <v>2016</v>
      </c>
      <c r="B729" s="357" t="s">
        <v>476</v>
      </c>
      <c r="C729" s="357" t="s">
        <v>477</v>
      </c>
      <c r="D729" s="358">
        <v>1021011</v>
      </c>
      <c r="E729" s="358">
        <v>1</v>
      </c>
      <c r="F729" s="358"/>
      <c r="G729" s="358">
        <v>250</v>
      </c>
      <c r="H729" s="358" t="s">
        <v>79</v>
      </c>
      <c r="I729" s="358"/>
      <c r="J729" s="358" t="s">
        <v>80</v>
      </c>
      <c r="K729" s="359" t="b">
        <f t="shared" si="25"/>
        <v>0</v>
      </c>
      <c r="L729" s="359">
        <v>5</v>
      </c>
      <c r="M729" s="360">
        <v>2021</v>
      </c>
      <c r="N729" s="361">
        <v>0</v>
      </c>
      <c r="O729" s="362">
        <v>42642</v>
      </c>
      <c r="P729" s="362">
        <v>42642</v>
      </c>
    </row>
    <row r="730" spans="1:16" ht="14.25">
      <c r="A730" s="356">
        <v>2016</v>
      </c>
      <c r="B730" s="357" t="s">
        <v>476</v>
      </c>
      <c r="C730" s="357" t="s">
        <v>477</v>
      </c>
      <c r="D730" s="358">
        <v>1021011</v>
      </c>
      <c r="E730" s="358">
        <v>1</v>
      </c>
      <c r="F730" s="358"/>
      <c r="G730" s="358">
        <v>250</v>
      </c>
      <c r="H730" s="358" t="s">
        <v>79</v>
      </c>
      <c r="I730" s="358"/>
      <c r="J730" s="358" t="s">
        <v>80</v>
      </c>
      <c r="K730" s="359" t="b">
        <f t="shared" si="25"/>
        <v>0</v>
      </c>
      <c r="L730" s="359">
        <v>1</v>
      </c>
      <c r="M730" s="360">
        <v>2017</v>
      </c>
      <c r="N730" s="361">
        <v>0</v>
      </c>
      <c r="O730" s="362">
        <v>42642</v>
      </c>
      <c r="P730" s="362">
        <v>42642</v>
      </c>
    </row>
    <row r="731" spans="1:16" ht="14.25">
      <c r="A731" s="356">
        <v>2016</v>
      </c>
      <c r="B731" s="357" t="s">
        <v>476</v>
      </c>
      <c r="C731" s="357" t="s">
        <v>477</v>
      </c>
      <c r="D731" s="358">
        <v>1021011</v>
      </c>
      <c r="E731" s="358">
        <v>1</v>
      </c>
      <c r="F731" s="358"/>
      <c r="G731" s="358">
        <v>250</v>
      </c>
      <c r="H731" s="358" t="s">
        <v>79</v>
      </c>
      <c r="I731" s="358"/>
      <c r="J731" s="358" t="s">
        <v>80</v>
      </c>
      <c r="K731" s="359" t="b">
        <f t="shared" si="25"/>
        <v>0</v>
      </c>
      <c r="L731" s="359">
        <v>6</v>
      </c>
      <c r="M731" s="360">
        <v>2022</v>
      </c>
      <c r="N731" s="361">
        <v>0</v>
      </c>
      <c r="O731" s="362">
        <v>42642</v>
      </c>
      <c r="P731" s="362">
        <v>42642</v>
      </c>
    </row>
    <row r="732" spans="1:16" ht="14.25">
      <c r="A732" s="356">
        <v>2016</v>
      </c>
      <c r="B732" s="357" t="s">
        <v>476</v>
      </c>
      <c r="C732" s="357" t="s">
        <v>477</v>
      </c>
      <c r="D732" s="358">
        <v>1021011</v>
      </c>
      <c r="E732" s="358">
        <v>1</v>
      </c>
      <c r="F732" s="358"/>
      <c r="G732" s="358">
        <v>250</v>
      </c>
      <c r="H732" s="358" t="s">
        <v>79</v>
      </c>
      <c r="I732" s="358"/>
      <c r="J732" s="358" t="s">
        <v>80</v>
      </c>
      <c r="K732" s="359" t="b">
        <f t="shared" si="25"/>
        <v>0</v>
      </c>
      <c r="L732" s="359">
        <v>8</v>
      </c>
      <c r="M732" s="360">
        <v>2024</v>
      </c>
      <c r="N732" s="361">
        <v>0</v>
      </c>
      <c r="O732" s="362">
        <v>42642</v>
      </c>
      <c r="P732" s="362">
        <v>42642</v>
      </c>
    </row>
    <row r="733" spans="1:16" ht="14.25">
      <c r="A733" s="356">
        <v>2016</v>
      </c>
      <c r="B733" s="357" t="s">
        <v>476</v>
      </c>
      <c r="C733" s="357" t="s">
        <v>477</v>
      </c>
      <c r="D733" s="358">
        <v>1021011</v>
      </c>
      <c r="E733" s="358">
        <v>1</v>
      </c>
      <c r="F733" s="358"/>
      <c r="G733" s="358">
        <v>1010</v>
      </c>
      <c r="H733" s="358">
        <v>16.2</v>
      </c>
      <c r="I733" s="358"/>
      <c r="J733" s="358" t="s">
        <v>483</v>
      </c>
      <c r="K733" s="359" t="b">
        <f aca="true" t="shared" si="26" ref="K733:K750">TRUE</f>
        <v>1</v>
      </c>
      <c r="L733" s="359">
        <v>0</v>
      </c>
      <c r="M733" s="360">
        <v>2016</v>
      </c>
      <c r="N733" s="361">
        <v>0</v>
      </c>
      <c r="O733" s="362">
        <v>42642</v>
      </c>
      <c r="P733" s="362">
        <v>42642</v>
      </c>
    </row>
    <row r="734" spans="1:16" ht="14.25">
      <c r="A734" s="356">
        <v>2016</v>
      </c>
      <c r="B734" s="357" t="s">
        <v>476</v>
      </c>
      <c r="C734" s="357" t="s">
        <v>477</v>
      </c>
      <c r="D734" s="358">
        <v>1021011</v>
      </c>
      <c r="E734" s="358">
        <v>1</v>
      </c>
      <c r="F734" s="358"/>
      <c r="G734" s="358">
        <v>1010</v>
      </c>
      <c r="H734" s="358">
        <v>16.2</v>
      </c>
      <c r="I734" s="358"/>
      <c r="J734" s="358" t="s">
        <v>483</v>
      </c>
      <c r="K734" s="359" t="b">
        <f t="shared" si="26"/>
        <v>1</v>
      </c>
      <c r="L734" s="359">
        <v>5</v>
      </c>
      <c r="M734" s="360">
        <v>2021</v>
      </c>
      <c r="N734" s="361">
        <v>0</v>
      </c>
      <c r="O734" s="362">
        <v>42642</v>
      </c>
      <c r="P734" s="362">
        <v>42642</v>
      </c>
    </row>
    <row r="735" spans="1:16" ht="14.25">
      <c r="A735" s="356">
        <v>2016</v>
      </c>
      <c r="B735" s="357" t="s">
        <v>476</v>
      </c>
      <c r="C735" s="357" t="s">
        <v>477</v>
      </c>
      <c r="D735" s="358">
        <v>1021011</v>
      </c>
      <c r="E735" s="358">
        <v>1</v>
      </c>
      <c r="F735" s="358"/>
      <c r="G735" s="358">
        <v>1010</v>
      </c>
      <c r="H735" s="358">
        <v>16.2</v>
      </c>
      <c r="I735" s="358"/>
      <c r="J735" s="358" t="s">
        <v>483</v>
      </c>
      <c r="K735" s="359" t="b">
        <f t="shared" si="26"/>
        <v>1</v>
      </c>
      <c r="L735" s="359">
        <v>4</v>
      </c>
      <c r="M735" s="360">
        <v>2020</v>
      </c>
      <c r="N735" s="361">
        <v>0</v>
      </c>
      <c r="O735" s="362">
        <v>42642</v>
      </c>
      <c r="P735" s="362">
        <v>42642</v>
      </c>
    </row>
    <row r="736" spans="1:16" ht="14.25">
      <c r="A736" s="356">
        <v>2016</v>
      </c>
      <c r="B736" s="357" t="s">
        <v>476</v>
      </c>
      <c r="C736" s="357" t="s">
        <v>477</v>
      </c>
      <c r="D736" s="358">
        <v>1021011</v>
      </c>
      <c r="E736" s="358">
        <v>1</v>
      </c>
      <c r="F736" s="358"/>
      <c r="G736" s="358">
        <v>1010</v>
      </c>
      <c r="H736" s="358">
        <v>16.2</v>
      </c>
      <c r="I736" s="358"/>
      <c r="J736" s="358" t="s">
        <v>483</v>
      </c>
      <c r="K736" s="359" t="b">
        <f t="shared" si="26"/>
        <v>1</v>
      </c>
      <c r="L736" s="359">
        <v>6</v>
      </c>
      <c r="M736" s="360">
        <v>2022</v>
      </c>
      <c r="N736" s="361">
        <v>0</v>
      </c>
      <c r="O736" s="362">
        <v>42642</v>
      </c>
      <c r="P736" s="362">
        <v>42642</v>
      </c>
    </row>
    <row r="737" spans="1:16" ht="14.25">
      <c r="A737" s="356">
        <v>2016</v>
      </c>
      <c r="B737" s="357" t="s">
        <v>476</v>
      </c>
      <c r="C737" s="357" t="s">
        <v>477</v>
      </c>
      <c r="D737" s="358">
        <v>1021011</v>
      </c>
      <c r="E737" s="358">
        <v>1</v>
      </c>
      <c r="F737" s="358"/>
      <c r="G737" s="358">
        <v>1010</v>
      </c>
      <c r="H737" s="358">
        <v>16.2</v>
      </c>
      <c r="I737" s="358"/>
      <c r="J737" s="358" t="s">
        <v>483</v>
      </c>
      <c r="K737" s="359" t="b">
        <f t="shared" si="26"/>
        <v>1</v>
      </c>
      <c r="L737" s="359">
        <v>7</v>
      </c>
      <c r="M737" s="360">
        <v>2023</v>
      </c>
      <c r="N737" s="361">
        <v>0</v>
      </c>
      <c r="O737" s="362">
        <v>42642</v>
      </c>
      <c r="P737" s="362">
        <v>42642</v>
      </c>
    </row>
    <row r="738" spans="1:16" ht="14.25">
      <c r="A738" s="356">
        <v>2016</v>
      </c>
      <c r="B738" s="357" t="s">
        <v>476</v>
      </c>
      <c r="C738" s="357" t="s">
        <v>477</v>
      </c>
      <c r="D738" s="358">
        <v>1021011</v>
      </c>
      <c r="E738" s="358">
        <v>1</v>
      </c>
      <c r="F738" s="358"/>
      <c r="G738" s="358">
        <v>1010</v>
      </c>
      <c r="H738" s="358">
        <v>16.2</v>
      </c>
      <c r="I738" s="358"/>
      <c r="J738" s="358" t="s">
        <v>483</v>
      </c>
      <c r="K738" s="359" t="b">
        <f t="shared" si="26"/>
        <v>1</v>
      </c>
      <c r="L738" s="359">
        <v>1</v>
      </c>
      <c r="M738" s="360">
        <v>2017</v>
      </c>
      <c r="N738" s="361">
        <v>0</v>
      </c>
      <c r="O738" s="362">
        <v>42642</v>
      </c>
      <c r="P738" s="362">
        <v>42642</v>
      </c>
    </row>
    <row r="739" spans="1:16" ht="14.25">
      <c r="A739" s="356">
        <v>2016</v>
      </c>
      <c r="B739" s="357" t="s">
        <v>476</v>
      </c>
      <c r="C739" s="357" t="s">
        <v>477</v>
      </c>
      <c r="D739" s="358">
        <v>1021011</v>
      </c>
      <c r="E739" s="358">
        <v>1</v>
      </c>
      <c r="F739" s="358"/>
      <c r="G739" s="358">
        <v>1010</v>
      </c>
      <c r="H739" s="358">
        <v>16.2</v>
      </c>
      <c r="I739" s="358"/>
      <c r="J739" s="358" t="s">
        <v>483</v>
      </c>
      <c r="K739" s="359" t="b">
        <f t="shared" si="26"/>
        <v>1</v>
      </c>
      <c r="L739" s="359">
        <v>2</v>
      </c>
      <c r="M739" s="360">
        <v>2018</v>
      </c>
      <c r="N739" s="361">
        <v>0</v>
      </c>
      <c r="O739" s="362">
        <v>42642</v>
      </c>
      <c r="P739" s="362">
        <v>42642</v>
      </c>
    </row>
    <row r="740" spans="1:16" ht="14.25">
      <c r="A740" s="356">
        <v>2016</v>
      </c>
      <c r="B740" s="357" t="s">
        <v>476</v>
      </c>
      <c r="C740" s="357" t="s">
        <v>477</v>
      </c>
      <c r="D740" s="358">
        <v>1021011</v>
      </c>
      <c r="E740" s="358">
        <v>1</v>
      </c>
      <c r="F740" s="358"/>
      <c r="G740" s="358">
        <v>1010</v>
      </c>
      <c r="H740" s="358">
        <v>16.2</v>
      </c>
      <c r="I740" s="358"/>
      <c r="J740" s="358" t="s">
        <v>483</v>
      </c>
      <c r="K740" s="359" t="b">
        <f t="shared" si="26"/>
        <v>1</v>
      </c>
      <c r="L740" s="359">
        <v>3</v>
      </c>
      <c r="M740" s="360">
        <v>2019</v>
      </c>
      <c r="N740" s="361">
        <v>0</v>
      </c>
      <c r="O740" s="362">
        <v>42642</v>
      </c>
      <c r="P740" s="362">
        <v>42642</v>
      </c>
    </row>
    <row r="741" spans="1:16" ht="14.25">
      <c r="A741" s="356">
        <v>2016</v>
      </c>
      <c r="B741" s="357" t="s">
        <v>476</v>
      </c>
      <c r="C741" s="357" t="s">
        <v>477</v>
      </c>
      <c r="D741" s="358">
        <v>1021011</v>
      </c>
      <c r="E741" s="358">
        <v>1</v>
      </c>
      <c r="F741" s="358"/>
      <c r="G741" s="358">
        <v>1010</v>
      </c>
      <c r="H741" s="358">
        <v>16.2</v>
      </c>
      <c r="I741" s="358"/>
      <c r="J741" s="358" t="s">
        <v>483</v>
      </c>
      <c r="K741" s="359" t="b">
        <f t="shared" si="26"/>
        <v>1</v>
      </c>
      <c r="L741" s="359">
        <v>8</v>
      </c>
      <c r="M741" s="360">
        <v>2024</v>
      </c>
      <c r="N741" s="361">
        <v>0</v>
      </c>
      <c r="O741" s="362">
        <v>42642</v>
      </c>
      <c r="P741" s="362">
        <v>42642</v>
      </c>
    </row>
    <row r="742" spans="1:16" ht="14.25">
      <c r="A742" s="356">
        <v>2016</v>
      </c>
      <c r="B742" s="357" t="s">
        <v>476</v>
      </c>
      <c r="C742" s="357" t="s">
        <v>477</v>
      </c>
      <c r="D742" s="358">
        <v>1021011</v>
      </c>
      <c r="E742" s="358">
        <v>1</v>
      </c>
      <c r="F742" s="358"/>
      <c r="G742" s="358">
        <v>980</v>
      </c>
      <c r="H742" s="358">
        <v>15.2</v>
      </c>
      <c r="I742" s="358"/>
      <c r="J742" s="358" t="s">
        <v>453</v>
      </c>
      <c r="K742" s="359" t="b">
        <f t="shared" si="26"/>
        <v>1</v>
      </c>
      <c r="L742" s="359">
        <v>3</v>
      </c>
      <c r="M742" s="360">
        <v>2019</v>
      </c>
      <c r="N742" s="361">
        <v>0</v>
      </c>
      <c r="O742" s="362">
        <v>42642</v>
      </c>
      <c r="P742" s="362">
        <v>42642</v>
      </c>
    </row>
    <row r="743" spans="1:16" ht="14.25">
      <c r="A743" s="356">
        <v>2016</v>
      </c>
      <c r="B743" s="357" t="s">
        <v>476</v>
      </c>
      <c r="C743" s="357" t="s">
        <v>477</v>
      </c>
      <c r="D743" s="358">
        <v>1021011</v>
      </c>
      <c r="E743" s="358">
        <v>1</v>
      </c>
      <c r="F743" s="358"/>
      <c r="G743" s="358">
        <v>980</v>
      </c>
      <c r="H743" s="358">
        <v>15.2</v>
      </c>
      <c r="I743" s="358"/>
      <c r="J743" s="358" t="s">
        <v>453</v>
      </c>
      <c r="K743" s="359" t="b">
        <f t="shared" si="26"/>
        <v>1</v>
      </c>
      <c r="L743" s="359">
        <v>8</v>
      </c>
      <c r="M743" s="360">
        <v>2024</v>
      </c>
      <c r="N743" s="361">
        <v>0</v>
      </c>
      <c r="O743" s="362">
        <v>42642</v>
      </c>
      <c r="P743" s="362">
        <v>42642</v>
      </c>
    </row>
    <row r="744" spans="1:16" ht="14.25">
      <c r="A744" s="356">
        <v>2016</v>
      </c>
      <c r="B744" s="357" t="s">
        <v>476</v>
      </c>
      <c r="C744" s="357" t="s">
        <v>477</v>
      </c>
      <c r="D744" s="358">
        <v>1021011</v>
      </c>
      <c r="E744" s="358">
        <v>1</v>
      </c>
      <c r="F744" s="358"/>
      <c r="G744" s="358">
        <v>980</v>
      </c>
      <c r="H744" s="358">
        <v>15.2</v>
      </c>
      <c r="I744" s="358"/>
      <c r="J744" s="358" t="s">
        <v>453</v>
      </c>
      <c r="K744" s="359" t="b">
        <f t="shared" si="26"/>
        <v>1</v>
      </c>
      <c r="L744" s="359">
        <v>6</v>
      </c>
      <c r="M744" s="360">
        <v>2022</v>
      </c>
      <c r="N744" s="361">
        <v>0</v>
      </c>
      <c r="O744" s="362">
        <v>42642</v>
      </c>
      <c r="P744" s="362">
        <v>42642</v>
      </c>
    </row>
    <row r="745" spans="1:16" ht="14.25">
      <c r="A745" s="356">
        <v>2016</v>
      </c>
      <c r="B745" s="357" t="s">
        <v>476</v>
      </c>
      <c r="C745" s="357" t="s">
        <v>477</v>
      </c>
      <c r="D745" s="358">
        <v>1021011</v>
      </c>
      <c r="E745" s="358">
        <v>1</v>
      </c>
      <c r="F745" s="358"/>
      <c r="G745" s="358">
        <v>980</v>
      </c>
      <c r="H745" s="358">
        <v>15.2</v>
      </c>
      <c r="I745" s="358"/>
      <c r="J745" s="358" t="s">
        <v>453</v>
      </c>
      <c r="K745" s="359" t="b">
        <f t="shared" si="26"/>
        <v>1</v>
      </c>
      <c r="L745" s="359">
        <v>5</v>
      </c>
      <c r="M745" s="360">
        <v>2021</v>
      </c>
      <c r="N745" s="361">
        <v>0</v>
      </c>
      <c r="O745" s="362">
        <v>42642</v>
      </c>
      <c r="P745" s="362">
        <v>42642</v>
      </c>
    </row>
    <row r="746" spans="1:16" ht="14.25">
      <c r="A746" s="356">
        <v>2016</v>
      </c>
      <c r="B746" s="357" t="s">
        <v>476</v>
      </c>
      <c r="C746" s="357" t="s">
        <v>477</v>
      </c>
      <c r="D746" s="358">
        <v>1021011</v>
      </c>
      <c r="E746" s="358">
        <v>1</v>
      </c>
      <c r="F746" s="358"/>
      <c r="G746" s="358">
        <v>980</v>
      </c>
      <c r="H746" s="358">
        <v>15.2</v>
      </c>
      <c r="I746" s="358"/>
      <c r="J746" s="358" t="s">
        <v>453</v>
      </c>
      <c r="K746" s="359" t="b">
        <f t="shared" si="26"/>
        <v>1</v>
      </c>
      <c r="L746" s="359">
        <v>7</v>
      </c>
      <c r="M746" s="360">
        <v>2023</v>
      </c>
      <c r="N746" s="361">
        <v>0</v>
      </c>
      <c r="O746" s="362">
        <v>42642</v>
      </c>
      <c r="P746" s="362">
        <v>42642</v>
      </c>
    </row>
    <row r="747" spans="1:16" ht="14.25">
      <c r="A747" s="356">
        <v>2016</v>
      </c>
      <c r="B747" s="357" t="s">
        <v>476</v>
      </c>
      <c r="C747" s="357" t="s">
        <v>477</v>
      </c>
      <c r="D747" s="358">
        <v>1021011</v>
      </c>
      <c r="E747" s="358">
        <v>1</v>
      </c>
      <c r="F747" s="358"/>
      <c r="G747" s="358">
        <v>980</v>
      </c>
      <c r="H747" s="358">
        <v>15.2</v>
      </c>
      <c r="I747" s="358"/>
      <c r="J747" s="358" t="s">
        <v>453</v>
      </c>
      <c r="K747" s="359" t="b">
        <f t="shared" si="26"/>
        <v>1</v>
      </c>
      <c r="L747" s="359">
        <v>4</v>
      </c>
      <c r="M747" s="360">
        <v>2020</v>
      </c>
      <c r="N747" s="361">
        <v>0</v>
      </c>
      <c r="O747" s="362">
        <v>42642</v>
      </c>
      <c r="P747" s="362">
        <v>42642</v>
      </c>
    </row>
    <row r="748" spans="1:16" ht="14.25">
      <c r="A748" s="356">
        <v>2016</v>
      </c>
      <c r="B748" s="357" t="s">
        <v>476</v>
      </c>
      <c r="C748" s="357" t="s">
        <v>477</v>
      </c>
      <c r="D748" s="358">
        <v>1021011</v>
      </c>
      <c r="E748" s="358">
        <v>1</v>
      </c>
      <c r="F748" s="358"/>
      <c r="G748" s="358">
        <v>980</v>
      </c>
      <c r="H748" s="358">
        <v>15.2</v>
      </c>
      <c r="I748" s="358"/>
      <c r="J748" s="358" t="s">
        <v>453</v>
      </c>
      <c r="K748" s="359" t="b">
        <f t="shared" si="26"/>
        <v>1</v>
      </c>
      <c r="L748" s="359">
        <v>2</v>
      </c>
      <c r="M748" s="360">
        <v>2018</v>
      </c>
      <c r="N748" s="361">
        <v>0</v>
      </c>
      <c r="O748" s="362">
        <v>42642</v>
      </c>
      <c r="P748" s="362">
        <v>42642</v>
      </c>
    </row>
    <row r="749" spans="1:16" ht="14.25">
      <c r="A749" s="356">
        <v>2016</v>
      </c>
      <c r="B749" s="357" t="s">
        <v>476</v>
      </c>
      <c r="C749" s="357" t="s">
        <v>477</v>
      </c>
      <c r="D749" s="358">
        <v>1021011</v>
      </c>
      <c r="E749" s="358">
        <v>1</v>
      </c>
      <c r="F749" s="358"/>
      <c r="G749" s="358">
        <v>980</v>
      </c>
      <c r="H749" s="358">
        <v>15.2</v>
      </c>
      <c r="I749" s="358"/>
      <c r="J749" s="358" t="s">
        <v>453</v>
      </c>
      <c r="K749" s="359" t="b">
        <f t="shared" si="26"/>
        <v>1</v>
      </c>
      <c r="L749" s="359">
        <v>0</v>
      </c>
      <c r="M749" s="360">
        <v>2016</v>
      </c>
      <c r="N749" s="361">
        <v>0</v>
      </c>
      <c r="O749" s="362">
        <v>42642</v>
      </c>
      <c r="P749" s="362">
        <v>42642</v>
      </c>
    </row>
    <row r="750" spans="1:16" ht="14.25">
      <c r="A750" s="356">
        <v>2016</v>
      </c>
      <c r="B750" s="357" t="s">
        <v>476</v>
      </c>
      <c r="C750" s="357" t="s">
        <v>477</v>
      </c>
      <c r="D750" s="358">
        <v>1021011</v>
      </c>
      <c r="E750" s="358">
        <v>1</v>
      </c>
      <c r="F750" s="358"/>
      <c r="G750" s="358">
        <v>980</v>
      </c>
      <c r="H750" s="358">
        <v>15.2</v>
      </c>
      <c r="I750" s="358"/>
      <c r="J750" s="358" t="s">
        <v>453</v>
      </c>
      <c r="K750" s="359" t="b">
        <f t="shared" si="26"/>
        <v>1</v>
      </c>
      <c r="L750" s="359">
        <v>1</v>
      </c>
      <c r="M750" s="360">
        <v>2017</v>
      </c>
      <c r="N750" s="361">
        <v>0</v>
      </c>
      <c r="O750" s="362">
        <v>42642</v>
      </c>
      <c r="P750" s="362">
        <v>42642</v>
      </c>
    </row>
    <row r="751" spans="1:16" ht="14.25">
      <c r="A751" s="356">
        <v>2016</v>
      </c>
      <c r="B751" s="357" t="s">
        <v>476</v>
      </c>
      <c r="C751" s="357" t="s">
        <v>477</v>
      </c>
      <c r="D751" s="358">
        <v>1021011</v>
      </c>
      <c r="E751" s="358">
        <v>1</v>
      </c>
      <c r="F751" s="358"/>
      <c r="G751" s="358">
        <v>290</v>
      </c>
      <c r="H751" s="358" t="s">
        <v>87</v>
      </c>
      <c r="I751" s="358"/>
      <c r="J751" s="358" t="s">
        <v>80</v>
      </c>
      <c r="K751" s="359" t="b">
        <f aca="true" t="shared" si="27" ref="K751:K768">FALSE</f>
        <v>0</v>
      </c>
      <c r="L751" s="359">
        <v>3</v>
      </c>
      <c r="M751" s="360">
        <v>2019</v>
      </c>
      <c r="N751" s="361">
        <v>0</v>
      </c>
      <c r="O751" s="362">
        <v>42642</v>
      </c>
      <c r="P751" s="362">
        <v>42642</v>
      </c>
    </row>
    <row r="752" spans="1:16" ht="14.25">
      <c r="A752" s="356">
        <v>2016</v>
      </c>
      <c r="B752" s="357" t="s">
        <v>476</v>
      </c>
      <c r="C752" s="357" t="s">
        <v>477</v>
      </c>
      <c r="D752" s="358">
        <v>1021011</v>
      </c>
      <c r="E752" s="358">
        <v>1</v>
      </c>
      <c r="F752" s="358"/>
      <c r="G752" s="358">
        <v>290</v>
      </c>
      <c r="H752" s="358" t="s">
        <v>87</v>
      </c>
      <c r="I752" s="358"/>
      <c r="J752" s="358" t="s">
        <v>80</v>
      </c>
      <c r="K752" s="359" t="b">
        <f t="shared" si="27"/>
        <v>0</v>
      </c>
      <c r="L752" s="359">
        <v>8</v>
      </c>
      <c r="M752" s="360">
        <v>2024</v>
      </c>
      <c r="N752" s="361">
        <v>0</v>
      </c>
      <c r="O752" s="362">
        <v>42642</v>
      </c>
      <c r="P752" s="362">
        <v>42642</v>
      </c>
    </row>
    <row r="753" spans="1:16" ht="14.25">
      <c r="A753" s="356">
        <v>2016</v>
      </c>
      <c r="B753" s="357" t="s">
        <v>476</v>
      </c>
      <c r="C753" s="357" t="s">
        <v>477</v>
      </c>
      <c r="D753" s="358">
        <v>1021011</v>
      </c>
      <c r="E753" s="358">
        <v>1</v>
      </c>
      <c r="F753" s="358"/>
      <c r="G753" s="358">
        <v>290</v>
      </c>
      <c r="H753" s="358" t="s">
        <v>87</v>
      </c>
      <c r="I753" s="358"/>
      <c r="J753" s="358" t="s">
        <v>80</v>
      </c>
      <c r="K753" s="359" t="b">
        <f t="shared" si="27"/>
        <v>0</v>
      </c>
      <c r="L753" s="359">
        <v>0</v>
      </c>
      <c r="M753" s="360">
        <v>2016</v>
      </c>
      <c r="N753" s="361">
        <v>0</v>
      </c>
      <c r="O753" s="362">
        <v>42642</v>
      </c>
      <c r="P753" s="362">
        <v>42642</v>
      </c>
    </row>
    <row r="754" spans="1:16" ht="14.25">
      <c r="A754" s="356">
        <v>2016</v>
      </c>
      <c r="B754" s="357" t="s">
        <v>476</v>
      </c>
      <c r="C754" s="357" t="s">
        <v>477</v>
      </c>
      <c r="D754" s="358">
        <v>1021011</v>
      </c>
      <c r="E754" s="358">
        <v>1</v>
      </c>
      <c r="F754" s="358"/>
      <c r="G754" s="358">
        <v>290</v>
      </c>
      <c r="H754" s="358" t="s">
        <v>87</v>
      </c>
      <c r="I754" s="358"/>
      <c r="J754" s="358" t="s">
        <v>80</v>
      </c>
      <c r="K754" s="359" t="b">
        <f t="shared" si="27"/>
        <v>0</v>
      </c>
      <c r="L754" s="359">
        <v>6</v>
      </c>
      <c r="M754" s="360">
        <v>2022</v>
      </c>
      <c r="N754" s="361">
        <v>0</v>
      </c>
      <c r="O754" s="362">
        <v>42642</v>
      </c>
      <c r="P754" s="362">
        <v>42642</v>
      </c>
    </row>
    <row r="755" spans="1:16" ht="14.25">
      <c r="A755" s="356">
        <v>2016</v>
      </c>
      <c r="B755" s="357" t="s">
        <v>476</v>
      </c>
      <c r="C755" s="357" t="s">
        <v>477</v>
      </c>
      <c r="D755" s="358">
        <v>1021011</v>
      </c>
      <c r="E755" s="358">
        <v>1</v>
      </c>
      <c r="F755" s="358"/>
      <c r="G755" s="358">
        <v>290</v>
      </c>
      <c r="H755" s="358" t="s">
        <v>87</v>
      </c>
      <c r="I755" s="358"/>
      <c r="J755" s="358" t="s">
        <v>80</v>
      </c>
      <c r="K755" s="359" t="b">
        <f t="shared" si="27"/>
        <v>0</v>
      </c>
      <c r="L755" s="359">
        <v>2</v>
      </c>
      <c r="M755" s="360">
        <v>2018</v>
      </c>
      <c r="N755" s="361">
        <v>0</v>
      </c>
      <c r="O755" s="362">
        <v>42642</v>
      </c>
      <c r="P755" s="362">
        <v>42642</v>
      </c>
    </row>
    <row r="756" spans="1:16" ht="14.25">
      <c r="A756" s="356">
        <v>2016</v>
      </c>
      <c r="B756" s="357" t="s">
        <v>476</v>
      </c>
      <c r="C756" s="357" t="s">
        <v>477</v>
      </c>
      <c r="D756" s="358">
        <v>1021011</v>
      </c>
      <c r="E756" s="358">
        <v>1</v>
      </c>
      <c r="F756" s="358"/>
      <c r="G756" s="358">
        <v>290</v>
      </c>
      <c r="H756" s="358" t="s">
        <v>87</v>
      </c>
      <c r="I756" s="358"/>
      <c r="J756" s="358" t="s">
        <v>80</v>
      </c>
      <c r="K756" s="359" t="b">
        <f t="shared" si="27"/>
        <v>0</v>
      </c>
      <c r="L756" s="359">
        <v>4</v>
      </c>
      <c r="M756" s="360">
        <v>2020</v>
      </c>
      <c r="N756" s="361">
        <v>0</v>
      </c>
      <c r="O756" s="362">
        <v>42642</v>
      </c>
      <c r="P756" s="362">
        <v>42642</v>
      </c>
    </row>
    <row r="757" spans="1:16" ht="14.25">
      <c r="A757" s="356">
        <v>2016</v>
      </c>
      <c r="B757" s="357" t="s">
        <v>476</v>
      </c>
      <c r="C757" s="357" t="s">
        <v>477</v>
      </c>
      <c r="D757" s="358">
        <v>1021011</v>
      </c>
      <c r="E757" s="358">
        <v>1</v>
      </c>
      <c r="F757" s="358"/>
      <c r="G757" s="358">
        <v>290</v>
      </c>
      <c r="H757" s="358" t="s">
        <v>87</v>
      </c>
      <c r="I757" s="358"/>
      <c r="J757" s="358" t="s">
        <v>80</v>
      </c>
      <c r="K757" s="359" t="b">
        <f t="shared" si="27"/>
        <v>0</v>
      </c>
      <c r="L757" s="359">
        <v>1</v>
      </c>
      <c r="M757" s="360">
        <v>2017</v>
      </c>
      <c r="N757" s="361">
        <v>0</v>
      </c>
      <c r="O757" s="362">
        <v>42642</v>
      </c>
      <c r="P757" s="362">
        <v>42642</v>
      </c>
    </row>
    <row r="758" spans="1:16" ht="14.25">
      <c r="A758" s="356">
        <v>2016</v>
      </c>
      <c r="B758" s="357" t="s">
        <v>476</v>
      </c>
      <c r="C758" s="357" t="s">
        <v>477</v>
      </c>
      <c r="D758" s="358">
        <v>1021011</v>
      </c>
      <c r="E758" s="358">
        <v>1</v>
      </c>
      <c r="F758" s="358"/>
      <c r="G758" s="358">
        <v>290</v>
      </c>
      <c r="H758" s="358" t="s">
        <v>87</v>
      </c>
      <c r="I758" s="358"/>
      <c r="J758" s="358" t="s">
        <v>80</v>
      </c>
      <c r="K758" s="359" t="b">
        <f t="shared" si="27"/>
        <v>0</v>
      </c>
      <c r="L758" s="359">
        <v>5</v>
      </c>
      <c r="M758" s="360">
        <v>2021</v>
      </c>
      <c r="N758" s="361">
        <v>0</v>
      </c>
      <c r="O758" s="362">
        <v>42642</v>
      </c>
      <c r="P758" s="362">
        <v>42642</v>
      </c>
    </row>
    <row r="759" spans="1:16" ht="14.25">
      <c r="A759" s="356">
        <v>2016</v>
      </c>
      <c r="B759" s="357" t="s">
        <v>476</v>
      </c>
      <c r="C759" s="357" t="s">
        <v>477</v>
      </c>
      <c r="D759" s="358">
        <v>1021011</v>
      </c>
      <c r="E759" s="358">
        <v>1</v>
      </c>
      <c r="F759" s="358"/>
      <c r="G759" s="358">
        <v>290</v>
      </c>
      <c r="H759" s="358" t="s">
        <v>87</v>
      </c>
      <c r="I759" s="358"/>
      <c r="J759" s="358" t="s">
        <v>80</v>
      </c>
      <c r="K759" s="359" t="b">
        <f t="shared" si="27"/>
        <v>0</v>
      </c>
      <c r="L759" s="359">
        <v>7</v>
      </c>
      <c r="M759" s="360">
        <v>2023</v>
      </c>
      <c r="N759" s="361">
        <v>0</v>
      </c>
      <c r="O759" s="362">
        <v>42642</v>
      </c>
      <c r="P759" s="362">
        <v>42642</v>
      </c>
    </row>
    <row r="760" spans="1:16" ht="14.25">
      <c r="A760" s="356">
        <v>2016</v>
      </c>
      <c r="B760" s="357" t="s">
        <v>476</v>
      </c>
      <c r="C760" s="357" t="s">
        <v>477</v>
      </c>
      <c r="D760" s="358">
        <v>1021011</v>
      </c>
      <c r="E760" s="358">
        <v>1</v>
      </c>
      <c r="F760" s="358"/>
      <c r="G760" s="358">
        <v>560</v>
      </c>
      <c r="H760" s="358">
        <v>10.1</v>
      </c>
      <c r="I760" s="358"/>
      <c r="J760" s="358" t="s">
        <v>145</v>
      </c>
      <c r="K760" s="359" t="b">
        <f t="shared" si="27"/>
        <v>0</v>
      </c>
      <c r="L760" s="359">
        <v>7</v>
      </c>
      <c r="M760" s="360">
        <v>2023</v>
      </c>
      <c r="N760" s="361">
        <v>2418000</v>
      </c>
      <c r="O760" s="362">
        <v>42642</v>
      </c>
      <c r="P760" s="362">
        <v>42642</v>
      </c>
    </row>
    <row r="761" spans="1:16" ht="14.25">
      <c r="A761" s="356">
        <v>2016</v>
      </c>
      <c r="B761" s="357" t="s">
        <v>476</v>
      </c>
      <c r="C761" s="357" t="s">
        <v>477</v>
      </c>
      <c r="D761" s="358">
        <v>1021011</v>
      </c>
      <c r="E761" s="358">
        <v>1</v>
      </c>
      <c r="F761" s="358"/>
      <c r="G761" s="358">
        <v>560</v>
      </c>
      <c r="H761" s="358">
        <v>10.1</v>
      </c>
      <c r="I761" s="358"/>
      <c r="J761" s="358" t="s">
        <v>145</v>
      </c>
      <c r="K761" s="359" t="b">
        <f t="shared" si="27"/>
        <v>0</v>
      </c>
      <c r="L761" s="359">
        <v>1</v>
      </c>
      <c r="M761" s="360">
        <v>2017</v>
      </c>
      <c r="N761" s="361">
        <v>1478204</v>
      </c>
      <c r="O761" s="362">
        <v>42642</v>
      </c>
      <c r="P761" s="362">
        <v>42642</v>
      </c>
    </row>
    <row r="762" spans="1:16" ht="14.25">
      <c r="A762" s="356">
        <v>2016</v>
      </c>
      <c r="B762" s="357" t="s">
        <v>476</v>
      </c>
      <c r="C762" s="357" t="s">
        <v>477</v>
      </c>
      <c r="D762" s="358">
        <v>1021011</v>
      </c>
      <c r="E762" s="358">
        <v>1</v>
      </c>
      <c r="F762" s="358"/>
      <c r="G762" s="358">
        <v>560</v>
      </c>
      <c r="H762" s="358">
        <v>10.1</v>
      </c>
      <c r="I762" s="358"/>
      <c r="J762" s="358" t="s">
        <v>145</v>
      </c>
      <c r="K762" s="359" t="b">
        <f t="shared" si="27"/>
        <v>0</v>
      </c>
      <c r="L762" s="359">
        <v>5</v>
      </c>
      <c r="M762" s="360">
        <v>2021</v>
      </c>
      <c r="N762" s="361">
        <v>2210004</v>
      </c>
      <c r="O762" s="362">
        <v>42642</v>
      </c>
      <c r="P762" s="362">
        <v>42642</v>
      </c>
    </row>
    <row r="763" spans="1:16" ht="14.25">
      <c r="A763" s="356">
        <v>2016</v>
      </c>
      <c r="B763" s="357" t="s">
        <v>476</v>
      </c>
      <c r="C763" s="357" t="s">
        <v>477</v>
      </c>
      <c r="D763" s="358">
        <v>1021011</v>
      </c>
      <c r="E763" s="358">
        <v>1</v>
      </c>
      <c r="F763" s="358"/>
      <c r="G763" s="358">
        <v>560</v>
      </c>
      <c r="H763" s="358">
        <v>10.1</v>
      </c>
      <c r="I763" s="358"/>
      <c r="J763" s="358" t="s">
        <v>145</v>
      </c>
      <c r="K763" s="359" t="b">
        <f t="shared" si="27"/>
        <v>0</v>
      </c>
      <c r="L763" s="359">
        <v>8</v>
      </c>
      <c r="M763" s="360">
        <v>2024</v>
      </c>
      <c r="N763" s="361">
        <v>1965692</v>
      </c>
      <c r="O763" s="362">
        <v>42642</v>
      </c>
      <c r="P763" s="362">
        <v>42642</v>
      </c>
    </row>
    <row r="764" spans="1:16" ht="14.25">
      <c r="A764" s="356">
        <v>2016</v>
      </c>
      <c r="B764" s="357" t="s">
        <v>476</v>
      </c>
      <c r="C764" s="357" t="s">
        <v>477</v>
      </c>
      <c r="D764" s="358">
        <v>1021011</v>
      </c>
      <c r="E764" s="358">
        <v>1</v>
      </c>
      <c r="F764" s="358"/>
      <c r="G764" s="358">
        <v>560</v>
      </c>
      <c r="H764" s="358">
        <v>10.1</v>
      </c>
      <c r="I764" s="358"/>
      <c r="J764" s="358" t="s">
        <v>145</v>
      </c>
      <c r="K764" s="359" t="b">
        <f t="shared" si="27"/>
        <v>0</v>
      </c>
      <c r="L764" s="359">
        <v>3</v>
      </c>
      <c r="M764" s="360">
        <v>2019</v>
      </c>
      <c r="N764" s="361">
        <v>1860004</v>
      </c>
      <c r="O764" s="362">
        <v>42642</v>
      </c>
      <c r="P764" s="362">
        <v>42642</v>
      </c>
    </row>
    <row r="765" spans="1:16" ht="14.25">
      <c r="A765" s="356">
        <v>2016</v>
      </c>
      <c r="B765" s="357" t="s">
        <v>476</v>
      </c>
      <c r="C765" s="357" t="s">
        <v>477</v>
      </c>
      <c r="D765" s="358">
        <v>1021011</v>
      </c>
      <c r="E765" s="358">
        <v>1</v>
      </c>
      <c r="F765" s="358"/>
      <c r="G765" s="358">
        <v>560</v>
      </c>
      <c r="H765" s="358">
        <v>10.1</v>
      </c>
      <c r="I765" s="358"/>
      <c r="J765" s="358" t="s">
        <v>145</v>
      </c>
      <c r="K765" s="359" t="b">
        <f t="shared" si="27"/>
        <v>0</v>
      </c>
      <c r="L765" s="359">
        <v>4</v>
      </c>
      <c r="M765" s="360">
        <v>2020</v>
      </c>
      <c r="N765" s="361">
        <v>2210004</v>
      </c>
      <c r="O765" s="362">
        <v>42642</v>
      </c>
      <c r="P765" s="362">
        <v>42642</v>
      </c>
    </row>
    <row r="766" spans="1:16" ht="14.25">
      <c r="A766" s="356">
        <v>2016</v>
      </c>
      <c r="B766" s="357" t="s">
        <v>476</v>
      </c>
      <c r="C766" s="357" t="s">
        <v>477</v>
      </c>
      <c r="D766" s="358">
        <v>1021011</v>
      </c>
      <c r="E766" s="358">
        <v>1</v>
      </c>
      <c r="F766" s="358"/>
      <c r="G766" s="358">
        <v>560</v>
      </c>
      <c r="H766" s="358">
        <v>10.1</v>
      </c>
      <c r="I766" s="358"/>
      <c r="J766" s="358" t="s">
        <v>145</v>
      </c>
      <c r="K766" s="359" t="b">
        <f t="shared" si="27"/>
        <v>0</v>
      </c>
      <c r="L766" s="359">
        <v>6</v>
      </c>
      <c r="M766" s="360">
        <v>2022</v>
      </c>
      <c r="N766" s="361">
        <v>2250004</v>
      </c>
      <c r="O766" s="362">
        <v>42642</v>
      </c>
      <c r="P766" s="362">
        <v>42642</v>
      </c>
    </row>
    <row r="767" spans="1:16" ht="14.25">
      <c r="A767" s="356">
        <v>2016</v>
      </c>
      <c r="B767" s="357" t="s">
        <v>476</v>
      </c>
      <c r="C767" s="357" t="s">
        <v>477</v>
      </c>
      <c r="D767" s="358">
        <v>1021011</v>
      </c>
      <c r="E767" s="358">
        <v>1</v>
      </c>
      <c r="F767" s="358"/>
      <c r="G767" s="358">
        <v>560</v>
      </c>
      <c r="H767" s="358">
        <v>10.1</v>
      </c>
      <c r="I767" s="358"/>
      <c r="J767" s="358" t="s">
        <v>145</v>
      </c>
      <c r="K767" s="359" t="b">
        <f t="shared" si="27"/>
        <v>0</v>
      </c>
      <c r="L767" s="359">
        <v>0</v>
      </c>
      <c r="M767" s="360">
        <v>2016</v>
      </c>
      <c r="N767" s="361">
        <v>0</v>
      </c>
      <c r="O767" s="362">
        <v>42642</v>
      </c>
      <c r="P767" s="362">
        <v>42642</v>
      </c>
    </row>
    <row r="768" spans="1:16" ht="14.25">
      <c r="A768" s="356">
        <v>2016</v>
      </c>
      <c r="B768" s="357" t="s">
        <v>476</v>
      </c>
      <c r="C768" s="357" t="s">
        <v>477</v>
      </c>
      <c r="D768" s="358">
        <v>1021011</v>
      </c>
      <c r="E768" s="358">
        <v>1</v>
      </c>
      <c r="F768" s="358"/>
      <c r="G768" s="358">
        <v>560</v>
      </c>
      <c r="H768" s="358">
        <v>10.1</v>
      </c>
      <c r="I768" s="358"/>
      <c r="J768" s="358" t="s">
        <v>145</v>
      </c>
      <c r="K768" s="359" t="b">
        <f t="shared" si="27"/>
        <v>0</v>
      </c>
      <c r="L768" s="359">
        <v>2</v>
      </c>
      <c r="M768" s="360">
        <v>2018</v>
      </c>
      <c r="N768" s="361">
        <v>1678204</v>
      </c>
      <c r="O768" s="362">
        <v>42642</v>
      </c>
      <c r="P768" s="362">
        <v>42642</v>
      </c>
    </row>
    <row r="769" spans="1:16" ht="14.25">
      <c r="A769" s="356">
        <v>2016</v>
      </c>
      <c r="B769" s="357" t="s">
        <v>476</v>
      </c>
      <c r="C769" s="357" t="s">
        <v>477</v>
      </c>
      <c r="D769" s="358">
        <v>1021011</v>
      </c>
      <c r="E769" s="358">
        <v>1</v>
      </c>
      <c r="F769" s="358"/>
      <c r="G769" s="358">
        <v>90</v>
      </c>
      <c r="H769" s="358">
        <v>1.2</v>
      </c>
      <c r="I769" s="358"/>
      <c r="J769" s="358" t="s">
        <v>444</v>
      </c>
      <c r="K769" s="359" t="b">
        <f aca="true" t="shared" si="28" ref="K769:K777">TRUE</f>
        <v>1</v>
      </c>
      <c r="L769" s="359">
        <v>7</v>
      </c>
      <c r="M769" s="360">
        <v>2023</v>
      </c>
      <c r="N769" s="361">
        <v>0</v>
      </c>
      <c r="O769" s="362">
        <v>42642</v>
      </c>
      <c r="P769" s="362">
        <v>42642</v>
      </c>
    </row>
    <row r="770" spans="1:16" ht="14.25">
      <c r="A770" s="356">
        <v>2016</v>
      </c>
      <c r="B770" s="357" t="s">
        <v>476</v>
      </c>
      <c r="C770" s="357" t="s">
        <v>477</v>
      </c>
      <c r="D770" s="358">
        <v>1021011</v>
      </c>
      <c r="E770" s="358">
        <v>1</v>
      </c>
      <c r="F770" s="358"/>
      <c r="G770" s="358">
        <v>90</v>
      </c>
      <c r="H770" s="358">
        <v>1.2</v>
      </c>
      <c r="I770" s="358"/>
      <c r="J770" s="358" t="s">
        <v>444</v>
      </c>
      <c r="K770" s="359" t="b">
        <f t="shared" si="28"/>
        <v>1</v>
      </c>
      <c r="L770" s="359">
        <v>2</v>
      </c>
      <c r="M770" s="360">
        <v>2018</v>
      </c>
      <c r="N770" s="361">
        <v>0</v>
      </c>
      <c r="O770" s="362">
        <v>42642</v>
      </c>
      <c r="P770" s="362">
        <v>42642</v>
      </c>
    </row>
    <row r="771" spans="1:16" ht="14.25">
      <c r="A771" s="356">
        <v>2016</v>
      </c>
      <c r="B771" s="357" t="s">
        <v>476</v>
      </c>
      <c r="C771" s="357" t="s">
        <v>477</v>
      </c>
      <c r="D771" s="358">
        <v>1021011</v>
      </c>
      <c r="E771" s="358">
        <v>1</v>
      </c>
      <c r="F771" s="358"/>
      <c r="G771" s="358">
        <v>90</v>
      </c>
      <c r="H771" s="358">
        <v>1.2</v>
      </c>
      <c r="I771" s="358"/>
      <c r="J771" s="358" t="s">
        <v>444</v>
      </c>
      <c r="K771" s="359" t="b">
        <f t="shared" si="28"/>
        <v>1</v>
      </c>
      <c r="L771" s="359">
        <v>0</v>
      </c>
      <c r="M771" s="360">
        <v>2016</v>
      </c>
      <c r="N771" s="361">
        <v>1069064.53</v>
      </c>
      <c r="O771" s="362">
        <v>42642</v>
      </c>
      <c r="P771" s="362">
        <v>42642</v>
      </c>
    </row>
    <row r="772" spans="1:16" ht="14.25">
      <c r="A772" s="356">
        <v>2016</v>
      </c>
      <c r="B772" s="357" t="s">
        <v>476</v>
      </c>
      <c r="C772" s="357" t="s">
        <v>477</v>
      </c>
      <c r="D772" s="358">
        <v>1021011</v>
      </c>
      <c r="E772" s="358">
        <v>1</v>
      </c>
      <c r="F772" s="358"/>
      <c r="G772" s="358">
        <v>90</v>
      </c>
      <c r="H772" s="358">
        <v>1.2</v>
      </c>
      <c r="I772" s="358"/>
      <c r="J772" s="358" t="s">
        <v>444</v>
      </c>
      <c r="K772" s="359" t="b">
        <f t="shared" si="28"/>
        <v>1</v>
      </c>
      <c r="L772" s="359">
        <v>4</v>
      </c>
      <c r="M772" s="360">
        <v>2020</v>
      </c>
      <c r="N772" s="361">
        <v>0</v>
      </c>
      <c r="O772" s="362">
        <v>42642</v>
      </c>
      <c r="P772" s="362">
        <v>42642</v>
      </c>
    </row>
    <row r="773" spans="1:16" ht="14.25">
      <c r="A773" s="356">
        <v>2016</v>
      </c>
      <c r="B773" s="357" t="s">
        <v>476</v>
      </c>
      <c r="C773" s="357" t="s">
        <v>477</v>
      </c>
      <c r="D773" s="358">
        <v>1021011</v>
      </c>
      <c r="E773" s="358">
        <v>1</v>
      </c>
      <c r="F773" s="358"/>
      <c r="G773" s="358">
        <v>90</v>
      </c>
      <c r="H773" s="358">
        <v>1.2</v>
      </c>
      <c r="I773" s="358"/>
      <c r="J773" s="358" t="s">
        <v>444</v>
      </c>
      <c r="K773" s="359" t="b">
        <f t="shared" si="28"/>
        <v>1</v>
      </c>
      <c r="L773" s="359">
        <v>1</v>
      </c>
      <c r="M773" s="360">
        <v>2017</v>
      </c>
      <c r="N773" s="361">
        <v>1252887.87</v>
      </c>
      <c r="O773" s="362">
        <v>42642</v>
      </c>
      <c r="P773" s="362">
        <v>42642</v>
      </c>
    </row>
    <row r="774" spans="1:16" ht="14.25">
      <c r="A774" s="356">
        <v>2016</v>
      </c>
      <c r="B774" s="357" t="s">
        <v>476</v>
      </c>
      <c r="C774" s="357" t="s">
        <v>477</v>
      </c>
      <c r="D774" s="358">
        <v>1021011</v>
      </c>
      <c r="E774" s="358">
        <v>1</v>
      </c>
      <c r="F774" s="358"/>
      <c r="G774" s="358">
        <v>90</v>
      </c>
      <c r="H774" s="358">
        <v>1.2</v>
      </c>
      <c r="I774" s="358"/>
      <c r="J774" s="358" t="s">
        <v>444</v>
      </c>
      <c r="K774" s="359" t="b">
        <f t="shared" si="28"/>
        <v>1</v>
      </c>
      <c r="L774" s="359">
        <v>6</v>
      </c>
      <c r="M774" s="360">
        <v>2022</v>
      </c>
      <c r="N774" s="361">
        <v>0</v>
      </c>
      <c r="O774" s="362">
        <v>42642</v>
      </c>
      <c r="P774" s="362">
        <v>42642</v>
      </c>
    </row>
    <row r="775" spans="1:16" ht="14.25">
      <c r="A775" s="356">
        <v>2016</v>
      </c>
      <c r="B775" s="357" t="s">
        <v>476</v>
      </c>
      <c r="C775" s="357" t="s">
        <v>477</v>
      </c>
      <c r="D775" s="358">
        <v>1021011</v>
      </c>
      <c r="E775" s="358">
        <v>1</v>
      </c>
      <c r="F775" s="358"/>
      <c r="G775" s="358">
        <v>90</v>
      </c>
      <c r="H775" s="358">
        <v>1.2</v>
      </c>
      <c r="I775" s="358"/>
      <c r="J775" s="358" t="s">
        <v>444</v>
      </c>
      <c r="K775" s="359" t="b">
        <f t="shared" si="28"/>
        <v>1</v>
      </c>
      <c r="L775" s="359">
        <v>5</v>
      </c>
      <c r="M775" s="360">
        <v>2021</v>
      </c>
      <c r="N775" s="361">
        <v>0</v>
      </c>
      <c r="O775" s="362">
        <v>42642</v>
      </c>
      <c r="P775" s="362">
        <v>42642</v>
      </c>
    </row>
    <row r="776" spans="1:16" ht="14.25">
      <c r="A776" s="356">
        <v>2016</v>
      </c>
      <c r="B776" s="357" t="s">
        <v>476</v>
      </c>
      <c r="C776" s="357" t="s">
        <v>477</v>
      </c>
      <c r="D776" s="358">
        <v>1021011</v>
      </c>
      <c r="E776" s="358">
        <v>1</v>
      </c>
      <c r="F776" s="358"/>
      <c r="G776" s="358">
        <v>90</v>
      </c>
      <c r="H776" s="358">
        <v>1.2</v>
      </c>
      <c r="I776" s="358"/>
      <c r="J776" s="358" t="s">
        <v>444</v>
      </c>
      <c r="K776" s="359" t="b">
        <f t="shared" si="28"/>
        <v>1</v>
      </c>
      <c r="L776" s="359">
        <v>8</v>
      </c>
      <c r="M776" s="360">
        <v>2024</v>
      </c>
      <c r="N776" s="361">
        <v>0</v>
      </c>
      <c r="O776" s="362">
        <v>42642</v>
      </c>
      <c r="P776" s="362">
        <v>42642</v>
      </c>
    </row>
    <row r="777" spans="1:16" ht="14.25">
      <c r="A777" s="356">
        <v>2016</v>
      </c>
      <c r="B777" s="357" t="s">
        <v>476</v>
      </c>
      <c r="C777" s="357" t="s">
        <v>477</v>
      </c>
      <c r="D777" s="358">
        <v>1021011</v>
      </c>
      <c r="E777" s="358">
        <v>1</v>
      </c>
      <c r="F777" s="358"/>
      <c r="G777" s="358">
        <v>90</v>
      </c>
      <c r="H777" s="358">
        <v>1.2</v>
      </c>
      <c r="I777" s="358"/>
      <c r="J777" s="358" t="s">
        <v>444</v>
      </c>
      <c r="K777" s="359" t="b">
        <f t="shared" si="28"/>
        <v>1</v>
      </c>
      <c r="L777" s="359">
        <v>3</v>
      </c>
      <c r="M777" s="360">
        <v>2019</v>
      </c>
      <c r="N777" s="361">
        <v>0</v>
      </c>
      <c r="O777" s="362">
        <v>42642</v>
      </c>
      <c r="P777" s="362">
        <v>42642</v>
      </c>
    </row>
    <row r="778" spans="1:16" ht="14.25">
      <c r="A778" s="356">
        <v>2016</v>
      </c>
      <c r="B778" s="357" t="s">
        <v>476</v>
      </c>
      <c r="C778" s="357" t="s">
        <v>477</v>
      </c>
      <c r="D778" s="358">
        <v>1021011</v>
      </c>
      <c r="E778" s="358">
        <v>1</v>
      </c>
      <c r="F778" s="358"/>
      <c r="G778" s="358">
        <v>480</v>
      </c>
      <c r="H778" s="358">
        <v>9.2</v>
      </c>
      <c r="I778" s="358" t="s">
        <v>434</v>
      </c>
      <c r="J778" s="358" t="s">
        <v>447</v>
      </c>
      <c r="K778" s="359" t="b">
        <f aca="true" t="shared" si="29" ref="K778:K786">FALSE</f>
        <v>0</v>
      </c>
      <c r="L778" s="359">
        <v>4</v>
      </c>
      <c r="M778" s="360">
        <v>2020</v>
      </c>
      <c r="N778" s="361">
        <v>0.0661</v>
      </c>
      <c r="O778" s="362">
        <v>42642</v>
      </c>
      <c r="P778" s="362">
        <v>42642</v>
      </c>
    </row>
    <row r="779" spans="1:16" ht="14.25">
      <c r="A779" s="356">
        <v>2016</v>
      </c>
      <c r="B779" s="357" t="s">
        <v>476</v>
      </c>
      <c r="C779" s="357" t="s">
        <v>477</v>
      </c>
      <c r="D779" s="358">
        <v>1021011</v>
      </c>
      <c r="E779" s="358">
        <v>1</v>
      </c>
      <c r="F779" s="358"/>
      <c r="G779" s="358">
        <v>480</v>
      </c>
      <c r="H779" s="358">
        <v>9.2</v>
      </c>
      <c r="I779" s="358" t="s">
        <v>434</v>
      </c>
      <c r="J779" s="358" t="s">
        <v>447</v>
      </c>
      <c r="K779" s="359" t="b">
        <f t="shared" si="29"/>
        <v>0</v>
      </c>
      <c r="L779" s="359">
        <v>1</v>
      </c>
      <c r="M779" s="360">
        <v>2017</v>
      </c>
      <c r="N779" s="361">
        <v>0.0532</v>
      </c>
      <c r="O779" s="362">
        <v>42642</v>
      </c>
      <c r="P779" s="362">
        <v>42642</v>
      </c>
    </row>
    <row r="780" spans="1:16" ht="14.25">
      <c r="A780" s="356">
        <v>2016</v>
      </c>
      <c r="B780" s="357" t="s">
        <v>476</v>
      </c>
      <c r="C780" s="357" t="s">
        <v>477</v>
      </c>
      <c r="D780" s="358">
        <v>1021011</v>
      </c>
      <c r="E780" s="358">
        <v>1</v>
      </c>
      <c r="F780" s="358"/>
      <c r="G780" s="358">
        <v>480</v>
      </c>
      <c r="H780" s="358">
        <v>9.2</v>
      </c>
      <c r="I780" s="358" t="s">
        <v>434</v>
      </c>
      <c r="J780" s="358" t="s">
        <v>447</v>
      </c>
      <c r="K780" s="359" t="b">
        <f t="shared" si="29"/>
        <v>0</v>
      </c>
      <c r="L780" s="359">
        <v>2</v>
      </c>
      <c r="M780" s="360">
        <v>2018</v>
      </c>
      <c r="N780" s="361">
        <v>0.0581</v>
      </c>
      <c r="O780" s="362">
        <v>42642</v>
      </c>
      <c r="P780" s="362">
        <v>42642</v>
      </c>
    </row>
    <row r="781" spans="1:16" ht="14.25">
      <c r="A781" s="356">
        <v>2016</v>
      </c>
      <c r="B781" s="357" t="s">
        <v>476</v>
      </c>
      <c r="C781" s="357" t="s">
        <v>477</v>
      </c>
      <c r="D781" s="358">
        <v>1021011</v>
      </c>
      <c r="E781" s="358">
        <v>1</v>
      </c>
      <c r="F781" s="358"/>
      <c r="G781" s="358">
        <v>480</v>
      </c>
      <c r="H781" s="358">
        <v>9.2</v>
      </c>
      <c r="I781" s="358" t="s">
        <v>434</v>
      </c>
      <c r="J781" s="358" t="s">
        <v>447</v>
      </c>
      <c r="K781" s="359" t="b">
        <f t="shared" si="29"/>
        <v>0</v>
      </c>
      <c r="L781" s="359">
        <v>5</v>
      </c>
      <c r="M781" s="360">
        <v>2021</v>
      </c>
      <c r="N781" s="361">
        <v>0.0626</v>
      </c>
      <c r="O781" s="362">
        <v>42642</v>
      </c>
      <c r="P781" s="362">
        <v>42642</v>
      </c>
    </row>
    <row r="782" spans="1:16" ht="14.25">
      <c r="A782" s="356">
        <v>2016</v>
      </c>
      <c r="B782" s="357" t="s">
        <v>476</v>
      </c>
      <c r="C782" s="357" t="s">
        <v>477</v>
      </c>
      <c r="D782" s="358">
        <v>1021011</v>
      </c>
      <c r="E782" s="358">
        <v>1</v>
      </c>
      <c r="F782" s="358"/>
      <c r="G782" s="358">
        <v>480</v>
      </c>
      <c r="H782" s="358">
        <v>9.2</v>
      </c>
      <c r="I782" s="358" t="s">
        <v>434</v>
      </c>
      <c r="J782" s="358" t="s">
        <v>447</v>
      </c>
      <c r="K782" s="359" t="b">
        <f t="shared" si="29"/>
        <v>0</v>
      </c>
      <c r="L782" s="359">
        <v>8</v>
      </c>
      <c r="M782" s="360">
        <v>2024</v>
      </c>
      <c r="N782" s="361">
        <v>0.0496</v>
      </c>
      <c r="O782" s="362">
        <v>42642</v>
      </c>
      <c r="P782" s="362">
        <v>42642</v>
      </c>
    </row>
    <row r="783" spans="1:16" ht="14.25">
      <c r="A783" s="356">
        <v>2016</v>
      </c>
      <c r="B783" s="357" t="s">
        <v>476</v>
      </c>
      <c r="C783" s="357" t="s">
        <v>477</v>
      </c>
      <c r="D783" s="358">
        <v>1021011</v>
      </c>
      <c r="E783" s="358">
        <v>1</v>
      </c>
      <c r="F783" s="358"/>
      <c r="G783" s="358">
        <v>480</v>
      </c>
      <c r="H783" s="358">
        <v>9.2</v>
      </c>
      <c r="I783" s="358" t="s">
        <v>434</v>
      </c>
      <c r="J783" s="358" t="s">
        <v>447</v>
      </c>
      <c r="K783" s="359" t="b">
        <f t="shared" si="29"/>
        <v>0</v>
      </c>
      <c r="L783" s="359">
        <v>0</v>
      </c>
      <c r="M783" s="360">
        <v>2016</v>
      </c>
      <c r="N783" s="361">
        <v>0.0424</v>
      </c>
      <c r="O783" s="362">
        <v>42642</v>
      </c>
      <c r="P783" s="362">
        <v>42642</v>
      </c>
    </row>
    <row r="784" spans="1:16" ht="14.25">
      <c r="A784" s="356">
        <v>2016</v>
      </c>
      <c r="B784" s="357" t="s">
        <v>476</v>
      </c>
      <c r="C784" s="357" t="s">
        <v>477</v>
      </c>
      <c r="D784" s="358">
        <v>1021011</v>
      </c>
      <c r="E784" s="358">
        <v>1</v>
      </c>
      <c r="F784" s="358"/>
      <c r="G784" s="358">
        <v>480</v>
      </c>
      <c r="H784" s="358">
        <v>9.2</v>
      </c>
      <c r="I784" s="358" t="s">
        <v>434</v>
      </c>
      <c r="J784" s="358" t="s">
        <v>447</v>
      </c>
      <c r="K784" s="359" t="b">
        <f t="shared" si="29"/>
        <v>0</v>
      </c>
      <c r="L784" s="359">
        <v>3</v>
      </c>
      <c r="M784" s="360">
        <v>2019</v>
      </c>
      <c r="N784" s="361">
        <v>0.0604</v>
      </c>
      <c r="O784" s="362">
        <v>42642</v>
      </c>
      <c r="P784" s="362">
        <v>42642</v>
      </c>
    </row>
    <row r="785" spans="1:16" ht="14.25">
      <c r="A785" s="356">
        <v>2016</v>
      </c>
      <c r="B785" s="357" t="s">
        <v>476</v>
      </c>
      <c r="C785" s="357" t="s">
        <v>477</v>
      </c>
      <c r="D785" s="358">
        <v>1021011</v>
      </c>
      <c r="E785" s="358">
        <v>1</v>
      </c>
      <c r="F785" s="358"/>
      <c r="G785" s="358">
        <v>480</v>
      </c>
      <c r="H785" s="358">
        <v>9.2</v>
      </c>
      <c r="I785" s="358" t="s">
        <v>434</v>
      </c>
      <c r="J785" s="358" t="s">
        <v>447</v>
      </c>
      <c r="K785" s="359" t="b">
        <f t="shared" si="29"/>
        <v>0</v>
      </c>
      <c r="L785" s="359">
        <v>7</v>
      </c>
      <c r="M785" s="360">
        <v>2023</v>
      </c>
      <c r="N785" s="361">
        <v>0.0608</v>
      </c>
      <c r="O785" s="362">
        <v>42642</v>
      </c>
      <c r="P785" s="362">
        <v>42642</v>
      </c>
    </row>
    <row r="786" spans="1:16" ht="14.25">
      <c r="A786" s="356">
        <v>2016</v>
      </c>
      <c r="B786" s="357" t="s">
        <v>476</v>
      </c>
      <c r="C786" s="357" t="s">
        <v>477</v>
      </c>
      <c r="D786" s="358">
        <v>1021011</v>
      </c>
      <c r="E786" s="358">
        <v>1</v>
      </c>
      <c r="F786" s="358"/>
      <c r="G786" s="358">
        <v>480</v>
      </c>
      <c r="H786" s="358">
        <v>9.2</v>
      </c>
      <c r="I786" s="358" t="s">
        <v>434</v>
      </c>
      <c r="J786" s="358" t="s">
        <v>447</v>
      </c>
      <c r="K786" s="359" t="b">
        <f t="shared" si="29"/>
        <v>0</v>
      </c>
      <c r="L786" s="359">
        <v>6</v>
      </c>
      <c r="M786" s="360">
        <v>2022</v>
      </c>
      <c r="N786" s="361">
        <v>0.0601</v>
      </c>
      <c r="O786" s="362">
        <v>42642</v>
      </c>
      <c r="P786" s="362">
        <v>42642</v>
      </c>
    </row>
    <row r="787" spans="1:16" ht="14.25">
      <c r="A787" s="356">
        <v>2016</v>
      </c>
      <c r="B787" s="357" t="s">
        <v>476</v>
      </c>
      <c r="C787" s="357" t="s">
        <v>477</v>
      </c>
      <c r="D787" s="358">
        <v>1021011</v>
      </c>
      <c r="E787" s="358">
        <v>1</v>
      </c>
      <c r="F787" s="358"/>
      <c r="G787" s="358">
        <v>820</v>
      </c>
      <c r="H787" s="358">
        <v>13.3</v>
      </c>
      <c r="I787" s="358"/>
      <c r="J787" s="358" t="s">
        <v>234</v>
      </c>
      <c r="K787" s="359" t="b">
        <f aca="true" t="shared" si="30" ref="K787:K804">TRUE</f>
        <v>1</v>
      </c>
      <c r="L787" s="359">
        <v>2</v>
      </c>
      <c r="M787" s="360">
        <v>2018</v>
      </c>
      <c r="N787" s="361">
        <v>0</v>
      </c>
      <c r="O787" s="362">
        <v>42642</v>
      </c>
      <c r="P787" s="362">
        <v>42642</v>
      </c>
    </row>
    <row r="788" spans="1:16" ht="14.25">
      <c r="A788" s="356">
        <v>2016</v>
      </c>
      <c r="B788" s="357" t="s">
        <v>476</v>
      </c>
      <c r="C788" s="357" t="s">
        <v>477</v>
      </c>
      <c r="D788" s="358">
        <v>1021011</v>
      </c>
      <c r="E788" s="358">
        <v>1</v>
      </c>
      <c r="F788" s="358"/>
      <c r="G788" s="358">
        <v>820</v>
      </c>
      <c r="H788" s="358">
        <v>13.3</v>
      </c>
      <c r="I788" s="358"/>
      <c r="J788" s="358" t="s">
        <v>234</v>
      </c>
      <c r="K788" s="359" t="b">
        <f t="shared" si="30"/>
        <v>1</v>
      </c>
      <c r="L788" s="359">
        <v>1</v>
      </c>
      <c r="M788" s="360">
        <v>2017</v>
      </c>
      <c r="N788" s="361">
        <v>0</v>
      </c>
      <c r="O788" s="362">
        <v>42642</v>
      </c>
      <c r="P788" s="362">
        <v>42642</v>
      </c>
    </row>
    <row r="789" spans="1:16" ht="14.25">
      <c r="A789" s="356">
        <v>2016</v>
      </c>
      <c r="B789" s="357" t="s">
        <v>476</v>
      </c>
      <c r="C789" s="357" t="s">
        <v>477</v>
      </c>
      <c r="D789" s="358">
        <v>1021011</v>
      </c>
      <c r="E789" s="358">
        <v>1</v>
      </c>
      <c r="F789" s="358"/>
      <c r="G789" s="358">
        <v>820</v>
      </c>
      <c r="H789" s="358">
        <v>13.3</v>
      </c>
      <c r="I789" s="358"/>
      <c r="J789" s="358" t="s">
        <v>234</v>
      </c>
      <c r="K789" s="359" t="b">
        <f t="shared" si="30"/>
        <v>1</v>
      </c>
      <c r="L789" s="359">
        <v>5</v>
      </c>
      <c r="M789" s="360">
        <v>2021</v>
      </c>
      <c r="N789" s="361">
        <v>0</v>
      </c>
      <c r="O789" s="362">
        <v>42642</v>
      </c>
      <c r="P789" s="362">
        <v>42642</v>
      </c>
    </row>
    <row r="790" spans="1:16" ht="14.25">
      <c r="A790" s="356">
        <v>2016</v>
      </c>
      <c r="B790" s="357" t="s">
        <v>476</v>
      </c>
      <c r="C790" s="357" t="s">
        <v>477</v>
      </c>
      <c r="D790" s="358">
        <v>1021011</v>
      </c>
      <c r="E790" s="358">
        <v>1</v>
      </c>
      <c r="F790" s="358"/>
      <c r="G790" s="358">
        <v>820</v>
      </c>
      <c r="H790" s="358">
        <v>13.3</v>
      </c>
      <c r="I790" s="358"/>
      <c r="J790" s="358" t="s">
        <v>234</v>
      </c>
      <c r="K790" s="359" t="b">
        <f t="shared" si="30"/>
        <v>1</v>
      </c>
      <c r="L790" s="359">
        <v>7</v>
      </c>
      <c r="M790" s="360">
        <v>2023</v>
      </c>
      <c r="N790" s="361">
        <v>0</v>
      </c>
      <c r="O790" s="362">
        <v>42642</v>
      </c>
      <c r="P790" s="362">
        <v>42642</v>
      </c>
    </row>
    <row r="791" spans="1:16" ht="14.25">
      <c r="A791" s="356">
        <v>2016</v>
      </c>
      <c r="B791" s="357" t="s">
        <v>476</v>
      </c>
      <c r="C791" s="357" t="s">
        <v>477</v>
      </c>
      <c r="D791" s="358">
        <v>1021011</v>
      </c>
      <c r="E791" s="358">
        <v>1</v>
      </c>
      <c r="F791" s="358"/>
      <c r="G791" s="358">
        <v>820</v>
      </c>
      <c r="H791" s="358">
        <v>13.3</v>
      </c>
      <c r="I791" s="358"/>
      <c r="J791" s="358" t="s">
        <v>234</v>
      </c>
      <c r="K791" s="359" t="b">
        <f t="shared" si="30"/>
        <v>1</v>
      </c>
      <c r="L791" s="359">
        <v>6</v>
      </c>
      <c r="M791" s="360">
        <v>2022</v>
      </c>
      <c r="N791" s="361">
        <v>0</v>
      </c>
      <c r="O791" s="362">
        <v>42642</v>
      </c>
      <c r="P791" s="362">
        <v>42642</v>
      </c>
    </row>
    <row r="792" spans="1:16" ht="14.25">
      <c r="A792" s="356">
        <v>2016</v>
      </c>
      <c r="B792" s="357" t="s">
        <v>476</v>
      </c>
      <c r="C792" s="357" t="s">
        <v>477</v>
      </c>
      <c r="D792" s="358">
        <v>1021011</v>
      </c>
      <c r="E792" s="358">
        <v>1</v>
      </c>
      <c r="F792" s="358"/>
      <c r="G792" s="358">
        <v>820</v>
      </c>
      <c r="H792" s="358">
        <v>13.3</v>
      </c>
      <c r="I792" s="358"/>
      <c r="J792" s="358" t="s">
        <v>234</v>
      </c>
      <c r="K792" s="359" t="b">
        <f t="shared" si="30"/>
        <v>1</v>
      </c>
      <c r="L792" s="359">
        <v>8</v>
      </c>
      <c r="M792" s="360">
        <v>2024</v>
      </c>
      <c r="N792" s="361">
        <v>0</v>
      </c>
      <c r="O792" s="362">
        <v>42642</v>
      </c>
      <c r="P792" s="362">
        <v>42642</v>
      </c>
    </row>
    <row r="793" spans="1:16" ht="14.25">
      <c r="A793" s="356">
        <v>2016</v>
      </c>
      <c r="B793" s="357" t="s">
        <v>476</v>
      </c>
      <c r="C793" s="357" t="s">
        <v>477</v>
      </c>
      <c r="D793" s="358">
        <v>1021011</v>
      </c>
      <c r="E793" s="358">
        <v>1</v>
      </c>
      <c r="F793" s="358"/>
      <c r="G793" s="358">
        <v>820</v>
      </c>
      <c r="H793" s="358">
        <v>13.3</v>
      </c>
      <c r="I793" s="358"/>
      <c r="J793" s="358" t="s">
        <v>234</v>
      </c>
      <c r="K793" s="359" t="b">
        <f t="shared" si="30"/>
        <v>1</v>
      </c>
      <c r="L793" s="359">
        <v>4</v>
      </c>
      <c r="M793" s="360">
        <v>2020</v>
      </c>
      <c r="N793" s="361">
        <v>0</v>
      </c>
      <c r="O793" s="362">
        <v>42642</v>
      </c>
      <c r="P793" s="362">
        <v>42642</v>
      </c>
    </row>
    <row r="794" spans="1:16" ht="14.25">
      <c r="A794" s="356">
        <v>2016</v>
      </c>
      <c r="B794" s="357" t="s">
        <v>476</v>
      </c>
      <c r="C794" s="357" t="s">
        <v>477</v>
      </c>
      <c r="D794" s="358">
        <v>1021011</v>
      </c>
      <c r="E794" s="358">
        <v>1</v>
      </c>
      <c r="F794" s="358"/>
      <c r="G794" s="358">
        <v>820</v>
      </c>
      <c r="H794" s="358">
        <v>13.3</v>
      </c>
      <c r="I794" s="358"/>
      <c r="J794" s="358" t="s">
        <v>234</v>
      </c>
      <c r="K794" s="359" t="b">
        <f t="shared" si="30"/>
        <v>1</v>
      </c>
      <c r="L794" s="359">
        <v>3</v>
      </c>
      <c r="M794" s="360">
        <v>2019</v>
      </c>
      <c r="N794" s="361">
        <v>0</v>
      </c>
      <c r="O794" s="362">
        <v>42642</v>
      </c>
      <c r="P794" s="362">
        <v>42642</v>
      </c>
    </row>
    <row r="795" spans="1:16" ht="14.25">
      <c r="A795" s="356">
        <v>2016</v>
      </c>
      <c r="B795" s="357" t="s">
        <v>476</v>
      </c>
      <c r="C795" s="357" t="s">
        <v>477</v>
      </c>
      <c r="D795" s="358">
        <v>1021011</v>
      </c>
      <c r="E795" s="358">
        <v>1</v>
      </c>
      <c r="F795" s="358"/>
      <c r="G795" s="358">
        <v>820</v>
      </c>
      <c r="H795" s="358">
        <v>13.3</v>
      </c>
      <c r="I795" s="358"/>
      <c r="J795" s="358" t="s">
        <v>234</v>
      </c>
      <c r="K795" s="359" t="b">
        <f t="shared" si="30"/>
        <v>1</v>
      </c>
      <c r="L795" s="359">
        <v>0</v>
      </c>
      <c r="M795" s="360">
        <v>2016</v>
      </c>
      <c r="N795" s="361">
        <v>0</v>
      </c>
      <c r="O795" s="362">
        <v>42642</v>
      </c>
      <c r="P795" s="362">
        <v>42642</v>
      </c>
    </row>
    <row r="796" spans="1:16" ht="14.25">
      <c r="A796" s="356">
        <v>2016</v>
      </c>
      <c r="B796" s="357" t="s">
        <v>476</v>
      </c>
      <c r="C796" s="357" t="s">
        <v>477</v>
      </c>
      <c r="D796" s="358">
        <v>1021011</v>
      </c>
      <c r="E796" s="358">
        <v>1</v>
      </c>
      <c r="F796" s="358"/>
      <c r="G796" s="358">
        <v>30</v>
      </c>
      <c r="H796" s="358" t="s">
        <v>13</v>
      </c>
      <c r="I796" s="358"/>
      <c r="J796" s="358" t="s">
        <v>14</v>
      </c>
      <c r="K796" s="359" t="b">
        <f t="shared" si="30"/>
        <v>1</v>
      </c>
      <c r="L796" s="359">
        <v>5</v>
      </c>
      <c r="M796" s="360">
        <v>2021</v>
      </c>
      <c r="N796" s="361">
        <v>0</v>
      </c>
      <c r="O796" s="362">
        <v>42642</v>
      </c>
      <c r="P796" s="362">
        <v>42642</v>
      </c>
    </row>
    <row r="797" spans="1:16" ht="14.25">
      <c r="A797" s="356">
        <v>2016</v>
      </c>
      <c r="B797" s="357" t="s">
        <v>476</v>
      </c>
      <c r="C797" s="357" t="s">
        <v>477</v>
      </c>
      <c r="D797" s="358">
        <v>1021011</v>
      </c>
      <c r="E797" s="358">
        <v>1</v>
      </c>
      <c r="F797" s="358"/>
      <c r="G797" s="358">
        <v>30</v>
      </c>
      <c r="H797" s="358" t="s">
        <v>13</v>
      </c>
      <c r="I797" s="358"/>
      <c r="J797" s="358" t="s">
        <v>14</v>
      </c>
      <c r="K797" s="359" t="b">
        <f t="shared" si="30"/>
        <v>1</v>
      </c>
      <c r="L797" s="359">
        <v>8</v>
      </c>
      <c r="M797" s="360">
        <v>2024</v>
      </c>
      <c r="N797" s="361">
        <v>0</v>
      </c>
      <c r="O797" s="362">
        <v>42642</v>
      </c>
      <c r="P797" s="362">
        <v>42642</v>
      </c>
    </row>
    <row r="798" spans="1:16" ht="14.25">
      <c r="A798" s="356">
        <v>2016</v>
      </c>
      <c r="B798" s="357" t="s">
        <v>476</v>
      </c>
      <c r="C798" s="357" t="s">
        <v>477</v>
      </c>
      <c r="D798" s="358">
        <v>1021011</v>
      </c>
      <c r="E798" s="358">
        <v>1</v>
      </c>
      <c r="F798" s="358"/>
      <c r="G798" s="358">
        <v>30</v>
      </c>
      <c r="H798" s="358" t="s">
        <v>13</v>
      </c>
      <c r="I798" s="358"/>
      <c r="J798" s="358" t="s">
        <v>14</v>
      </c>
      <c r="K798" s="359" t="b">
        <f t="shared" si="30"/>
        <v>1</v>
      </c>
      <c r="L798" s="359">
        <v>4</v>
      </c>
      <c r="M798" s="360">
        <v>2020</v>
      </c>
      <c r="N798" s="361">
        <v>0</v>
      </c>
      <c r="O798" s="362">
        <v>42642</v>
      </c>
      <c r="P798" s="362">
        <v>42642</v>
      </c>
    </row>
    <row r="799" spans="1:16" ht="14.25">
      <c r="A799" s="356">
        <v>2016</v>
      </c>
      <c r="B799" s="357" t="s">
        <v>476</v>
      </c>
      <c r="C799" s="357" t="s">
        <v>477</v>
      </c>
      <c r="D799" s="358">
        <v>1021011</v>
      </c>
      <c r="E799" s="358">
        <v>1</v>
      </c>
      <c r="F799" s="358"/>
      <c r="G799" s="358">
        <v>30</v>
      </c>
      <c r="H799" s="358" t="s">
        <v>13</v>
      </c>
      <c r="I799" s="358"/>
      <c r="J799" s="358" t="s">
        <v>14</v>
      </c>
      <c r="K799" s="359" t="b">
        <f t="shared" si="30"/>
        <v>1</v>
      </c>
      <c r="L799" s="359">
        <v>7</v>
      </c>
      <c r="M799" s="360">
        <v>2023</v>
      </c>
      <c r="N799" s="361">
        <v>0</v>
      </c>
      <c r="O799" s="362">
        <v>42642</v>
      </c>
      <c r="P799" s="362">
        <v>42642</v>
      </c>
    </row>
    <row r="800" spans="1:16" ht="14.25">
      <c r="A800" s="356">
        <v>2016</v>
      </c>
      <c r="B800" s="357" t="s">
        <v>476</v>
      </c>
      <c r="C800" s="357" t="s">
        <v>477</v>
      </c>
      <c r="D800" s="358">
        <v>1021011</v>
      </c>
      <c r="E800" s="358">
        <v>1</v>
      </c>
      <c r="F800" s="358"/>
      <c r="G800" s="358">
        <v>30</v>
      </c>
      <c r="H800" s="358" t="s">
        <v>13</v>
      </c>
      <c r="I800" s="358"/>
      <c r="J800" s="358" t="s">
        <v>14</v>
      </c>
      <c r="K800" s="359" t="b">
        <f t="shared" si="30"/>
        <v>1</v>
      </c>
      <c r="L800" s="359">
        <v>3</v>
      </c>
      <c r="M800" s="360">
        <v>2019</v>
      </c>
      <c r="N800" s="361">
        <v>10000000</v>
      </c>
      <c r="O800" s="362">
        <v>42642</v>
      </c>
      <c r="P800" s="362">
        <v>42642</v>
      </c>
    </row>
    <row r="801" spans="1:16" ht="14.25">
      <c r="A801" s="356">
        <v>2016</v>
      </c>
      <c r="B801" s="357" t="s">
        <v>476</v>
      </c>
      <c r="C801" s="357" t="s">
        <v>477</v>
      </c>
      <c r="D801" s="358">
        <v>1021011</v>
      </c>
      <c r="E801" s="358">
        <v>1</v>
      </c>
      <c r="F801" s="358"/>
      <c r="G801" s="358">
        <v>30</v>
      </c>
      <c r="H801" s="358" t="s">
        <v>13</v>
      </c>
      <c r="I801" s="358"/>
      <c r="J801" s="358" t="s">
        <v>14</v>
      </c>
      <c r="K801" s="359" t="b">
        <f t="shared" si="30"/>
        <v>1</v>
      </c>
      <c r="L801" s="359">
        <v>0</v>
      </c>
      <c r="M801" s="360">
        <v>2016</v>
      </c>
      <c r="N801" s="361">
        <v>8464000</v>
      </c>
      <c r="O801" s="362">
        <v>42642</v>
      </c>
      <c r="P801" s="362">
        <v>42642</v>
      </c>
    </row>
    <row r="802" spans="1:16" ht="14.25">
      <c r="A802" s="356">
        <v>2016</v>
      </c>
      <c r="B802" s="357" t="s">
        <v>476</v>
      </c>
      <c r="C802" s="357" t="s">
        <v>477</v>
      </c>
      <c r="D802" s="358">
        <v>1021011</v>
      </c>
      <c r="E802" s="358">
        <v>1</v>
      </c>
      <c r="F802" s="358"/>
      <c r="G802" s="358">
        <v>30</v>
      </c>
      <c r="H802" s="358" t="s">
        <v>13</v>
      </c>
      <c r="I802" s="358"/>
      <c r="J802" s="358" t="s">
        <v>14</v>
      </c>
      <c r="K802" s="359" t="b">
        <f t="shared" si="30"/>
        <v>1</v>
      </c>
      <c r="L802" s="359">
        <v>2</v>
      </c>
      <c r="M802" s="360">
        <v>2018</v>
      </c>
      <c r="N802" s="361">
        <v>9500000</v>
      </c>
      <c r="O802" s="362">
        <v>42642</v>
      </c>
      <c r="P802" s="362">
        <v>42642</v>
      </c>
    </row>
    <row r="803" spans="1:16" ht="14.25">
      <c r="A803" s="356">
        <v>2016</v>
      </c>
      <c r="B803" s="357" t="s">
        <v>476</v>
      </c>
      <c r="C803" s="357" t="s">
        <v>477</v>
      </c>
      <c r="D803" s="358">
        <v>1021011</v>
      </c>
      <c r="E803" s="358">
        <v>1</v>
      </c>
      <c r="F803" s="358"/>
      <c r="G803" s="358">
        <v>30</v>
      </c>
      <c r="H803" s="358" t="s">
        <v>13</v>
      </c>
      <c r="I803" s="358"/>
      <c r="J803" s="358" t="s">
        <v>14</v>
      </c>
      <c r="K803" s="359" t="b">
        <f t="shared" si="30"/>
        <v>1</v>
      </c>
      <c r="L803" s="359">
        <v>6</v>
      </c>
      <c r="M803" s="360">
        <v>2022</v>
      </c>
      <c r="N803" s="361">
        <v>0</v>
      </c>
      <c r="O803" s="362">
        <v>42642</v>
      </c>
      <c r="P803" s="362">
        <v>42642</v>
      </c>
    </row>
    <row r="804" spans="1:16" ht="14.25">
      <c r="A804" s="356">
        <v>2016</v>
      </c>
      <c r="B804" s="357" t="s">
        <v>476</v>
      </c>
      <c r="C804" s="357" t="s">
        <v>477</v>
      </c>
      <c r="D804" s="358">
        <v>1021011</v>
      </c>
      <c r="E804" s="358">
        <v>1</v>
      </c>
      <c r="F804" s="358"/>
      <c r="G804" s="358">
        <v>30</v>
      </c>
      <c r="H804" s="358" t="s">
        <v>13</v>
      </c>
      <c r="I804" s="358"/>
      <c r="J804" s="358" t="s">
        <v>14</v>
      </c>
      <c r="K804" s="359" t="b">
        <f t="shared" si="30"/>
        <v>1</v>
      </c>
      <c r="L804" s="359">
        <v>1</v>
      </c>
      <c r="M804" s="360">
        <v>2017</v>
      </c>
      <c r="N804" s="361">
        <v>9000000</v>
      </c>
      <c r="O804" s="362">
        <v>42642</v>
      </c>
      <c r="P804" s="362">
        <v>42642</v>
      </c>
    </row>
    <row r="805" spans="1:16" ht="14.25">
      <c r="A805" s="356">
        <v>2016</v>
      </c>
      <c r="B805" s="357" t="s">
        <v>476</v>
      </c>
      <c r="C805" s="357" t="s">
        <v>477</v>
      </c>
      <c r="D805" s="358">
        <v>1021011</v>
      </c>
      <c r="E805" s="358">
        <v>1</v>
      </c>
      <c r="F805" s="358"/>
      <c r="G805" s="358">
        <v>200</v>
      </c>
      <c r="H805" s="358">
        <v>3</v>
      </c>
      <c r="I805" s="358" t="s">
        <v>427</v>
      </c>
      <c r="J805" s="358" t="s">
        <v>68</v>
      </c>
      <c r="K805" s="359" t="b">
        <f aca="true" t="shared" si="31" ref="K805:K813">FALSE</f>
        <v>0</v>
      </c>
      <c r="L805" s="359">
        <v>7</v>
      </c>
      <c r="M805" s="360">
        <v>2023</v>
      </c>
      <c r="N805" s="361">
        <v>2418000</v>
      </c>
      <c r="O805" s="362">
        <v>42642</v>
      </c>
      <c r="P805" s="362">
        <v>42642</v>
      </c>
    </row>
    <row r="806" spans="1:16" ht="14.25">
      <c r="A806" s="356">
        <v>2016</v>
      </c>
      <c r="B806" s="357" t="s">
        <v>476</v>
      </c>
      <c r="C806" s="357" t="s">
        <v>477</v>
      </c>
      <c r="D806" s="358">
        <v>1021011</v>
      </c>
      <c r="E806" s="358">
        <v>1</v>
      </c>
      <c r="F806" s="358"/>
      <c r="G806" s="358">
        <v>200</v>
      </c>
      <c r="H806" s="358">
        <v>3</v>
      </c>
      <c r="I806" s="358" t="s">
        <v>427</v>
      </c>
      <c r="J806" s="358" t="s">
        <v>68</v>
      </c>
      <c r="K806" s="359" t="b">
        <f t="shared" si="31"/>
        <v>0</v>
      </c>
      <c r="L806" s="359">
        <v>1</v>
      </c>
      <c r="M806" s="360">
        <v>2017</v>
      </c>
      <c r="N806" s="361">
        <v>1478204</v>
      </c>
      <c r="O806" s="362">
        <v>42642</v>
      </c>
      <c r="P806" s="362">
        <v>42642</v>
      </c>
    </row>
    <row r="807" spans="1:16" ht="14.25">
      <c r="A807" s="356">
        <v>2016</v>
      </c>
      <c r="B807" s="357" t="s">
        <v>476</v>
      </c>
      <c r="C807" s="357" t="s">
        <v>477</v>
      </c>
      <c r="D807" s="358">
        <v>1021011</v>
      </c>
      <c r="E807" s="358">
        <v>1</v>
      </c>
      <c r="F807" s="358"/>
      <c r="G807" s="358">
        <v>200</v>
      </c>
      <c r="H807" s="358">
        <v>3</v>
      </c>
      <c r="I807" s="358" t="s">
        <v>427</v>
      </c>
      <c r="J807" s="358" t="s">
        <v>68</v>
      </c>
      <c r="K807" s="359" t="b">
        <f t="shared" si="31"/>
        <v>0</v>
      </c>
      <c r="L807" s="359">
        <v>0</v>
      </c>
      <c r="M807" s="360">
        <v>2016</v>
      </c>
      <c r="N807" s="361">
        <v>-2003908.38</v>
      </c>
      <c r="O807" s="362">
        <v>42642</v>
      </c>
      <c r="P807" s="362">
        <v>42642</v>
      </c>
    </row>
    <row r="808" spans="1:16" ht="14.25">
      <c r="A808" s="356">
        <v>2016</v>
      </c>
      <c r="B808" s="357" t="s">
        <v>476</v>
      </c>
      <c r="C808" s="357" t="s">
        <v>477</v>
      </c>
      <c r="D808" s="358">
        <v>1021011</v>
      </c>
      <c r="E808" s="358">
        <v>1</v>
      </c>
      <c r="F808" s="358"/>
      <c r="G808" s="358">
        <v>200</v>
      </c>
      <c r="H808" s="358">
        <v>3</v>
      </c>
      <c r="I808" s="358" t="s">
        <v>427</v>
      </c>
      <c r="J808" s="358" t="s">
        <v>68</v>
      </c>
      <c r="K808" s="359" t="b">
        <f t="shared" si="31"/>
        <v>0</v>
      </c>
      <c r="L808" s="359">
        <v>2</v>
      </c>
      <c r="M808" s="360">
        <v>2018</v>
      </c>
      <c r="N808" s="361">
        <v>1678204</v>
      </c>
      <c r="O808" s="362">
        <v>42642</v>
      </c>
      <c r="P808" s="362">
        <v>42642</v>
      </c>
    </row>
    <row r="809" spans="1:16" ht="14.25">
      <c r="A809" s="356">
        <v>2016</v>
      </c>
      <c r="B809" s="357" t="s">
        <v>476</v>
      </c>
      <c r="C809" s="357" t="s">
        <v>477</v>
      </c>
      <c r="D809" s="358">
        <v>1021011</v>
      </c>
      <c r="E809" s="358">
        <v>1</v>
      </c>
      <c r="F809" s="358"/>
      <c r="G809" s="358">
        <v>200</v>
      </c>
      <c r="H809" s="358">
        <v>3</v>
      </c>
      <c r="I809" s="358" t="s">
        <v>427</v>
      </c>
      <c r="J809" s="358" t="s">
        <v>68</v>
      </c>
      <c r="K809" s="359" t="b">
        <f t="shared" si="31"/>
        <v>0</v>
      </c>
      <c r="L809" s="359">
        <v>3</v>
      </c>
      <c r="M809" s="360">
        <v>2019</v>
      </c>
      <c r="N809" s="361">
        <v>1860004</v>
      </c>
      <c r="O809" s="362">
        <v>42642</v>
      </c>
      <c r="P809" s="362">
        <v>42642</v>
      </c>
    </row>
    <row r="810" spans="1:16" ht="14.25">
      <c r="A810" s="356">
        <v>2016</v>
      </c>
      <c r="B810" s="357" t="s">
        <v>476</v>
      </c>
      <c r="C810" s="357" t="s">
        <v>477</v>
      </c>
      <c r="D810" s="358">
        <v>1021011</v>
      </c>
      <c r="E810" s="358">
        <v>1</v>
      </c>
      <c r="F810" s="358"/>
      <c r="G810" s="358">
        <v>200</v>
      </c>
      <c r="H810" s="358">
        <v>3</v>
      </c>
      <c r="I810" s="358" t="s">
        <v>427</v>
      </c>
      <c r="J810" s="358" t="s">
        <v>68</v>
      </c>
      <c r="K810" s="359" t="b">
        <f t="shared" si="31"/>
        <v>0</v>
      </c>
      <c r="L810" s="359">
        <v>8</v>
      </c>
      <c r="M810" s="360">
        <v>2024</v>
      </c>
      <c r="N810" s="361">
        <v>2065692</v>
      </c>
      <c r="O810" s="362">
        <v>42642</v>
      </c>
      <c r="P810" s="362">
        <v>42642</v>
      </c>
    </row>
    <row r="811" spans="1:16" ht="14.25">
      <c r="A811" s="356">
        <v>2016</v>
      </c>
      <c r="B811" s="357" t="s">
        <v>476</v>
      </c>
      <c r="C811" s="357" t="s">
        <v>477</v>
      </c>
      <c r="D811" s="358">
        <v>1021011</v>
      </c>
      <c r="E811" s="358">
        <v>1</v>
      </c>
      <c r="F811" s="358"/>
      <c r="G811" s="358">
        <v>200</v>
      </c>
      <c r="H811" s="358">
        <v>3</v>
      </c>
      <c r="I811" s="358" t="s">
        <v>427</v>
      </c>
      <c r="J811" s="358" t="s">
        <v>68</v>
      </c>
      <c r="K811" s="359" t="b">
        <f t="shared" si="31"/>
        <v>0</v>
      </c>
      <c r="L811" s="359">
        <v>4</v>
      </c>
      <c r="M811" s="360">
        <v>2020</v>
      </c>
      <c r="N811" s="361">
        <v>2210004</v>
      </c>
      <c r="O811" s="362">
        <v>42642</v>
      </c>
      <c r="P811" s="362">
        <v>42642</v>
      </c>
    </row>
    <row r="812" spans="1:16" ht="14.25">
      <c r="A812" s="356">
        <v>2016</v>
      </c>
      <c r="B812" s="357" t="s">
        <v>476</v>
      </c>
      <c r="C812" s="357" t="s">
        <v>477</v>
      </c>
      <c r="D812" s="358">
        <v>1021011</v>
      </c>
      <c r="E812" s="358">
        <v>1</v>
      </c>
      <c r="F812" s="358"/>
      <c r="G812" s="358">
        <v>200</v>
      </c>
      <c r="H812" s="358">
        <v>3</v>
      </c>
      <c r="I812" s="358" t="s">
        <v>427</v>
      </c>
      <c r="J812" s="358" t="s">
        <v>68</v>
      </c>
      <c r="K812" s="359" t="b">
        <f t="shared" si="31"/>
        <v>0</v>
      </c>
      <c r="L812" s="359">
        <v>6</v>
      </c>
      <c r="M812" s="360">
        <v>2022</v>
      </c>
      <c r="N812" s="361">
        <v>2250004</v>
      </c>
      <c r="O812" s="362">
        <v>42642</v>
      </c>
      <c r="P812" s="362">
        <v>42642</v>
      </c>
    </row>
    <row r="813" spans="1:16" ht="14.25">
      <c r="A813" s="356">
        <v>2016</v>
      </c>
      <c r="B813" s="357" t="s">
        <v>476</v>
      </c>
      <c r="C813" s="357" t="s">
        <v>477</v>
      </c>
      <c r="D813" s="358">
        <v>1021011</v>
      </c>
      <c r="E813" s="358">
        <v>1</v>
      </c>
      <c r="F813" s="358"/>
      <c r="G813" s="358">
        <v>200</v>
      </c>
      <c r="H813" s="358">
        <v>3</v>
      </c>
      <c r="I813" s="358" t="s">
        <v>427</v>
      </c>
      <c r="J813" s="358" t="s">
        <v>68</v>
      </c>
      <c r="K813" s="359" t="b">
        <f t="shared" si="31"/>
        <v>0</v>
      </c>
      <c r="L813" s="359">
        <v>5</v>
      </c>
      <c r="M813" s="360">
        <v>2021</v>
      </c>
      <c r="N813" s="361">
        <v>2210004</v>
      </c>
      <c r="O813" s="362">
        <v>42642</v>
      </c>
      <c r="P813" s="362">
        <v>42642</v>
      </c>
    </row>
    <row r="814" spans="1:16" ht="14.25">
      <c r="A814" s="356">
        <v>2016</v>
      </c>
      <c r="B814" s="357" t="s">
        <v>476</v>
      </c>
      <c r="C814" s="357" t="s">
        <v>477</v>
      </c>
      <c r="D814" s="358">
        <v>1021011</v>
      </c>
      <c r="E814" s="358">
        <v>1</v>
      </c>
      <c r="F814" s="358"/>
      <c r="G814" s="358">
        <v>860</v>
      </c>
      <c r="H814" s="358">
        <v>13.7</v>
      </c>
      <c r="I814" s="358"/>
      <c r="J814" s="358" t="s">
        <v>246</v>
      </c>
      <c r="K814" s="359" t="b">
        <f aca="true" t="shared" si="32" ref="K814:K867">TRUE</f>
        <v>1</v>
      </c>
      <c r="L814" s="359">
        <v>8</v>
      </c>
      <c r="M814" s="360">
        <v>2024</v>
      </c>
      <c r="N814" s="361">
        <v>0</v>
      </c>
      <c r="O814" s="362">
        <v>42642</v>
      </c>
      <c r="P814" s="362">
        <v>42642</v>
      </c>
    </row>
    <row r="815" spans="1:16" ht="14.25">
      <c r="A815" s="356">
        <v>2016</v>
      </c>
      <c r="B815" s="357" t="s">
        <v>476</v>
      </c>
      <c r="C815" s="357" t="s">
        <v>477</v>
      </c>
      <c r="D815" s="358">
        <v>1021011</v>
      </c>
      <c r="E815" s="358">
        <v>1</v>
      </c>
      <c r="F815" s="358"/>
      <c r="G815" s="358">
        <v>860</v>
      </c>
      <c r="H815" s="358">
        <v>13.7</v>
      </c>
      <c r="I815" s="358"/>
      <c r="J815" s="358" t="s">
        <v>246</v>
      </c>
      <c r="K815" s="359" t="b">
        <f t="shared" si="32"/>
        <v>1</v>
      </c>
      <c r="L815" s="359">
        <v>0</v>
      </c>
      <c r="M815" s="360">
        <v>2016</v>
      </c>
      <c r="N815" s="361">
        <v>0</v>
      </c>
      <c r="O815" s="362">
        <v>42642</v>
      </c>
      <c r="P815" s="362">
        <v>42642</v>
      </c>
    </row>
    <row r="816" spans="1:16" ht="14.25">
      <c r="A816" s="356">
        <v>2016</v>
      </c>
      <c r="B816" s="357" t="s">
        <v>476</v>
      </c>
      <c r="C816" s="357" t="s">
        <v>477</v>
      </c>
      <c r="D816" s="358">
        <v>1021011</v>
      </c>
      <c r="E816" s="358">
        <v>1</v>
      </c>
      <c r="F816" s="358"/>
      <c r="G816" s="358">
        <v>860</v>
      </c>
      <c r="H816" s="358">
        <v>13.7</v>
      </c>
      <c r="I816" s="358"/>
      <c r="J816" s="358" t="s">
        <v>246</v>
      </c>
      <c r="K816" s="359" t="b">
        <f t="shared" si="32"/>
        <v>1</v>
      </c>
      <c r="L816" s="359">
        <v>5</v>
      </c>
      <c r="M816" s="360">
        <v>2021</v>
      </c>
      <c r="N816" s="361">
        <v>0</v>
      </c>
      <c r="O816" s="362">
        <v>42642</v>
      </c>
      <c r="P816" s="362">
        <v>42642</v>
      </c>
    </row>
    <row r="817" spans="1:16" ht="14.25">
      <c r="A817" s="356">
        <v>2016</v>
      </c>
      <c r="B817" s="357" t="s">
        <v>476</v>
      </c>
      <c r="C817" s="357" t="s">
        <v>477</v>
      </c>
      <c r="D817" s="358">
        <v>1021011</v>
      </c>
      <c r="E817" s="358">
        <v>1</v>
      </c>
      <c r="F817" s="358"/>
      <c r="G817" s="358">
        <v>860</v>
      </c>
      <c r="H817" s="358">
        <v>13.7</v>
      </c>
      <c r="I817" s="358"/>
      <c r="J817" s="358" t="s">
        <v>246</v>
      </c>
      <c r="K817" s="359" t="b">
        <f t="shared" si="32"/>
        <v>1</v>
      </c>
      <c r="L817" s="359">
        <v>3</v>
      </c>
      <c r="M817" s="360">
        <v>2019</v>
      </c>
      <c r="N817" s="361">
        <v>0</v>
      </c>
      <c r="O817" s="362">
        <v>42642</v>
      </c>
      <c r="P817" s="362">
        <v>42642</v>
      </c>
    </row>
    <row r="818" spans="1:16" ht="14.25">
      <c r="A818" s="356">
        <v>2016</v>
      </c>
      <c r="B818" s="357" t="s">
        <v>476</v>
      </c>
      <c r="C818" s="357" t="s">
        <v>477</v>
      </c>
      <c r="D818" s="358">
        <v>1021011</v>
      </c>
      <c r="E818" s="358">
        <v>1</v>
      </c>
      <c r="F818" s="358"/>
      <c r="G818" s="358">
        <v>860</v>
      </c>
      <c r="H818" s="358">
        <v>13.7</v>
      </c>
      <c r="I818" s="358"/>
      <c r="J818" s="358" t="s">
        <v>246</v>
      </c>
      <c r="K818" s="359" t="b">
        <f t="shared" si="32"/>
        <v>1</v>
      </c>
      <c r="L818" s="359">
        <v>7</v>
      </c>
      <c r="M818" s="360">
        <v>2023</v>
      </c>
      <c r="N818" s="361">
        <v>0</v>
      </c>
      <c r="O818" s="362">
        <v>42642</v>
      </c>
      <c r="P818" s="362">
        <v>42642</v>
      </c>
    </row>
    <row r="819" spans="1:16" ht="14.25">
      <c r="A819" s="356">
        <v>2016</v>
      </c>
      <c r="B819" s="357" t="s">
        <v>476</v>
      </c>
      <c r="C819" s="357" t="s">
        <v>477</v>
      </c>
      <c r="D819" s="358">
        <v>1021011</v>
      </c>
      <c r="E819" s="358">
        <v>1</v>
      </c>
      <c r="F819" s="358"/>
      <c r="G819" s="358">
        <v>860</v>
      </c>
      <c r="H819" s="358">
        <v>13.7</v>
      </c>
      <c r="I819" s="358"/>
      <c r="J819" s="358" t="s">
        <v>246</v>
      </c>
      <c r="K819" s="359" t="b">
        <f t="shared" si="32"/>
        <v>1</v>
      </c>
      <c r="L819" s="359">
        <v>1</v>
      </c>
      <c r="M819" s="360">
        <v>2017</v>
      </c>
      <c r="N819" s="361">
        <v>0</v>
      </c>
      <c r="O819" s="362">
        <v>42642</v>
      </c>
      <c r="P819" s="362">
        <v>42642</v>
      </c>
    </row>
    <row r="820" spans="1:16" ht="14.25">
      <c r="A820" s="356">
        <v>2016</v>
      </c>
      <c r="B820" s="357" t="s">
        <v>476</v>
      </c>
      <c r="C820" s="357" t="s">
        <v>477</v>
      </c>
      <c r="D820" s="358">
        <v>1021011</v>
      </c>
      <c r="E820" s="358">
        <v>1</v>
      </c>
      <c r="F820" s="358"/>
      <c r="G820" s="358">
        <v>860</v>
      </c>
      <c r="H820" s="358">
        <v>13.7</v>
      </c>
      <c r="I820" s="358"/>
      <c r="J820" s="358" t="s">
        <v>246</v>
      </c>
      <c r="K820" s="359" t="b">
        <f t="shared" si="32"/>
        <v>1</v>
      </c>
      <c r="L820" s="359">
        <v>6</v>
      </c>
      <c r="M820" s="360">
        <v>2022</v>
      </c>
      <c r="N820" s="361">
        <v>0</v>
      </c>
      <c r="O820" s="362">
        <v>42642</v>
      </c>
      <c r="P820" s="362">
        <v>42642</v>
      </c>
    </row>
    <row r="821" spans="1:16" ht="14.25">
      <c r="A821" s="356">
        <v>2016</v>
      </c>
      <c r="B821" s="357" t="s">
        <v>476</v>
      </c>
      <c r="C821" s="357" t="s">
        <v>477</v>
      </c>
      <c r="D821" s="358">
        <v>1021011</v>
      </c>
      <c r="E821" s="358">
        <v>1</v>
      </c>
      <c r="F821" s="358"/>
      <c r="G821" s="358">
        <v>860</v>
      </c>
      <c r="H821" s="358">
        <v>13.7</v>
      </c>
      <c r="I821" s="358"/>
      <c r="J821" s="358" t="s">
        <v>246</v>
      </c>
      <c r="K821" s="359" t="b">
        <f t="shared" si="32"/>
        <v>1</v>
      </c>
      <c r="L821" s="359">
        <v>2</v>
      </c>
      <c r="M821" s="360">
        <v>2018</v>
      </c>
      <c r="N821" s="361">
        <v>0</v>
      </c>
      <c r="O821" s="362">
        <v>42642</v>
      </c>
      <c r="P821" s="362">
        <v>42642</v>
      </c>
    </row>
    <row r="822" spans="1:16" ht="14.25">
      <c r="A822" s="356">
        <v>2016</v>
      </c>
      <c r="B822" s="357" t="s">
        <v>476</v>
      </c>
      <c r="C822" s="357" t="s">
        <v>477</v>
      </c>
      <c r="D822" s="358">
        <v>1021011</v>
      </c>
      <c r="E822" s="358">
        <v>1</v>
      </c>
      <c r="F822" s="358"/>
      <c r="G822" s="358">
        <v>860</v>
      </c>
      <c r="H822" s="358">
        <v>13.7</v>
      </c>
      <c r="I822" s="358"/>
      <c r="J822" s="358" t="s">
        <v>246</v>
      </c>
      <c r="K822" s="359" t="b">
        <f t="shared" si="32"/>
        <v>1</v>
      </c>
      <c r="L822" s="359">
        <v>4</v>
      </c>
      <c r="M822" s="360">
        <v>2020</v>
      </c>
      <c r="N822" s="361">
        <v>0</v>
      </c>
      <c r="O822" s="362">
        <v>42642</v>
      </c>
      <c r="P822" s="362">
        <v>42642</v>
      </c>
    </row>
    <row r="823" spans="1:16" ht="14.25">
      <c r="A823" s="356">
        <v>2016</v>
      </c>
      <c r="B823" s="357" t="s">
        <v>476</v>
      </c>
      <c r="C823" s="357" t="s">
        <v>477</v>
      </c>
      <c r="D823" s="358">
        <v>1021011</v>
      </c>
      <c r="E823" s="358">
        <v>1</v>
      </c>
      <c r="F823" s="358"/>
      <c r="G823" s="358">
        <v>60</v>
      </c>
      <c r="H823" s="358" t="s">
        <v>22</v>
      </c>
      <c r="I823" s="358"/>
      <c r="J823" s="358" t="s">
        <v>23</v>
      </c>
      <c r="K823" s="359" t="b">
        <f t="shared" si="32"/>
        <v>1</v>
      </c>
      <c r="L823" s="359">
        <v>4</v>
      </c>
      <c r="M823" s="360">
        <v>2020</v>
      </c>
      <c r="N823" s="361">
        <v>0</v>
      </c>
      <c r="O823" s="362">
        <v>42642</v>
      </c>
      <c r="P823" s="362">
        <v>42642</v>
      </c>
    </row>
    <row r="824" spans="1:16" ht="14.25">
      <c r="A824" s="356">
        <v>2016</v>
      </c>
      <c r="B824" s="357" t="s">
        <v>476</v>
      </c>
      <c r="C824" s="357" t="s">
        <v>477</v>
      </c>
      <c r="D824" s="358">
        <v>1021011</v>
      </c>
      <c r="E824" s="358">
        <v>1</v>
      </c>
      <c r="F824" s="358"/>
      <c r="G824" s="358">
        <v>60</v>
      </c>
      <c r="H824" s="358" t="s">
        <v>22</v>
      </c>
      <c r="I824" s="358"/>
      <c r="J824" s="358" t="s">
        <v>23</v>
      </c>
      <c r="K824" s="359" t="b">
        <f t="shared" si="32"/>
        <v>1</v>
      </c>
      <c r="L824" s="359">
        <v>0</v>
      </c>
      <c r="M824" s="360">
        <v>2016</v>
      </c>
      <c r="N824" s="361">
        <v>4468220</v>
      </c>
      <c r="O824" s="362">
        <v>42642</v>
      </c>
      <c r="P824" s="362">
        <v>42642</v>
      </c>
    </row>
    <row r="825" spans="1:16" ht="14.25">
      <c r="A825" s="356">
        <v>2016</v>
      </c>
      <c r="B825" s="357" t="s">
        <v>476</v>
      </c>
      <c r="C825" s="357" t="s">
        <v>477</v>
      </c>
      <c r="D825" s="358">
        <v>1021011</v>
      </c>
      <c r="E825" s="358">
        <v>1</v>
      </c>
      <c r="F825" s="358"/>
      <c r="G825" s="358">
        <v>60</v>
      </c>
      <c r="H825" s="358" t="s">
        <v>22</v>
      </c>
      <c r="I825" s="358"/>
      <c r="J825" s="358" t="s">
        <v>23</v>
      </c>
      <c r="K825" s="359" t="b">
        <f t="shared" si="32"/>
        <v>1</v>
      </c>
      <c r="L825" s="359">
        <v>3</v>
      </c>
      <c r="M825" s="360">
        <v>2019</v>
      </c>
      <c r="N825" s="361">
        <v>4700000</v>
      </c>
      <c r="O825" s="362">
        <v>42642</v>
      </c>
      <c r="P825" s="362">
        <v>42642</v>
      </c>
    </row>
    <row r="826" spans="1:16" ht="14.25">
      <c r="A826" s="356">
        <v>2016</v>
      </c>
      <c r="B826" s="357" t="s">
        <v>476</v>
      </c>
      <c r="C826" s="357" t="s">
        <v>477</v>
      </c>
      <c r="D826" s="358">
        <v>1021011</v>
      </c>
      <c r="E826" s="358">
        <v>1</v>
      </c>
      <c r="F826" s="358"/>
      <c r="G826" s="358">
        <v>60</v>
      </c>
      <c r="H826" s="358" t="s">
        <v>22</v>
      </c>
      <c r="I826" s="358"/>
      <c r="J826" s="358" t="s">
        <v>23</v>
      </c>
      <c r="K826" s="359" t="b">
        <f t="shared" si="32"/>
        <v>1</v>
      </c>
      <c r="L826" s="359">
        <v>5</v>
      </c>
      <c r="M826" s="360">
        <v>2021</v>
      </c>
      <c r="N826" s="361">
        <v>0</v>
      </c>
      <c r="O826" s="362">
        <v>42642</v>
      </c>
      <c r="P826" s="362">
        <v>42642</v>
      </c>
    </row>
    <row r="827" spans="1:16" ht="14.25">
      <c r="A827" s="356">
        <v>2016</v>
      </c>
      <c r="B827" s="357" t="s">
        <v>476</v>
      </c>
      <c r="C827" s="357" t="s">
        <v>477</v>
      </c>
      <c r="D827" s="358">
        <v>1021011</v>
      </c>
      <c r="E827" s="358">
        <v>1</v>
      </c>
      <c r="F827" s="358"/>
      <c r="G827" s="358">
        <v>60</v>
      </c>
      <c r="H827" s="358" t="s">
        <v>22</v>
      </c>
      <c r="I827" s="358"/>
      <c r="J827" s="358" t="s">
        <v>23</v>
      </c>
      <c r="K827" s="359" t="b">
        <f t="shared" si="32"/>
        <v>1</v>
      </c>
      <c r="L827" s="359">
        <v>6</v>
      </c>
      <c r="M827" s="360">
        <v>2022</v>
      </c>
      <c r="N827" s="361">
        <v>0</v>
      </c>
      <c r="O827" s="362">
        <v>42642</v>
      </c>
      <c r="P827" s="362">
        <v>42642</v>
      </c>
    </row>
    <row r="828" spans="1:16" ht="14.25">
      <c r="A828" s="356">
        <v>2016</v>
      </c>
      <c r="B828" s="357" t="s">
        <v>476</v>
      </c>
      <c r="C828" s="357" t="s">
        <v>477</v>
      </c>
      <c r="D828" s="358">
        <v>1021011</v>
      </c>
      <c r="E828" s="358">
        <v>1</v>
      </c>
      <c r="F828" s="358"/>
      <c r="G828" s="358">
        <v>60</v>
      </c>
      <c r="H828" s="358" t="s">
        <v>22</v>
      </c>
      <c r="I828" s="358"/>
      <c r="J828" s="358" t="s">
        <v>23</v>
      </c>
      <c r="K828" s="359" t="b">
        <f t="shared" si="32"/>
        <v>1</v>
      </c>
      <c r="L828" s="359">
        <v>8</v>
      </c>
      <c r="M828" s="360">
        <v>2024</v>
      </c>
      <c r="N828" s="361">
        <v>0</v>
      </c>
      <c r="O828" s="362">
        <v>42642</v>
      </c>
      <c r="P828" s="362">
        <v>42642</v>
      </c>
    </row>
    <row r="829" spans="1:16" ht="14.25">
      <c r="A829" s="356">
        <v>2016</v>
      </c>
      <c r="B829" s="357" t="s">
        <v>476</v>
      </c>
      <c r="C829" s="357" t="s">
        <v>477</v>
      </c>
      <c r="D829" s="358">
        <v>1021011</v>
      </c>
      <c r="E829" s="358">
        <v>1</v>
      </c>
      <c r="F829" s="358"/>
      <c r="G829" s="358">
        <v>60</v>
      </c>
      <c r="H829" s="358" t="s">
        <v>22</v>
      </c>
      <c r="I829" s="358"/>
      <c r="J829" s="358" t="s">
        <v>23</v>
      </c>
      <c r="K829" s="359" t="b">
        <f t="shared" si="32"/>
        <v>1</v>
      </c>
      <c r="L829" s="359">
        <v>7</v>
      </c>
      <c r="M829" s="360">
        <v>2023</v>
      </c>
      <c r="N829" s="361">
        <v>0</v>
      </c>
      <c r="O829" s="362">
        <v>42642</v>
      </c>
      <c r="P829" s="362">
        <v>42642</v>
      </c>
    </row>
    <row r="830" spans="1:16" ht="14.25">
      <c r="A830" s="356">
        <v>2016</v>
      </c>
      <c r="B830" s="357" t="s">
        <v>476</v>
      </c>
      <c r="C830" s="357" t="s">
        <v>477</v>
      </c>
      <c r="D830" s="358">
        <v>1021011</v>
      </c>
      <c r="E830" s="358">
        <v>1</v>
      </c>
      <c r="F830" s="358"/>
      <c r="G830" s="358">
        <v>60</v>
      </c>
      <c r="H830" s="358" t="s">
        <v>22</v>
      </c>
      <c r="I830" s="358"/>
      <c r="J830" s="358" t="s">
        <v>23</v>
      </c>
      <c r="K830" s="359" t="b">
        <f t="shared" si="32"/>
        <v>1</v>
      </c>
      <c r="L830" s="359">
        <v>1</v>
      </c>
      <c r="M830" s="360">
        <v>2017</v>
      </c>
      <c r="N830" s="361">
        <v>4500000</v>
      </c>
      <c r="O830" s="362">
        <v>42642</v>
      </c>
      <c r="P830" s="362">
        <v>42642</v>
      </c>
    </row>
    <row r="831" spans="1:16" ht="14.25">
      <c r="A831" s="356">
        <v>2016</v>
      </c>
      <c r="B831" s="357" t="s">
        <v>476</v>
      </c>
      <c r="C831" s="357" t="s">
        <v>477</v>
      </c>
      <c r="D831" s="358">
        <v>1021011</v>
      </c>
      <c r="E831" s="358">
        <v>1</v>
      </c>
      <c r="F831" s="358"/>
      <c r="G831" s="358">
        <v>60</v>
      </c>
      <c r="H831" s="358" t="s">
        <v>22</v>
      </c>
      <c r="I831" s="358"/>
      <c r="J831" s="358" t="s">
        <v>23</v>
      </c>
      <c r="K831" s="359" t="b">
        <f t="shared" si="32"/>
        <v>1</v>
      </c>
      <c r="L831" s="359">
        <v>2</v>
      </c>
      <c r="M831" s="360">
        <v>2018</v>
      </c>
      <c r="N831" s="361">
        <v>4600000</v>
      </c>
      <c r="O831" s="362">
        <v>42642</v>
      </c>
      <c r="P831" s="362">
        <v>42642</v>
      </c>
    </row>
    <row r="832" spans="1:16" ht="14.25">
      <c r="A832" s="356">
        <v>2016</v>
      </c>
      <c r="B832" s="357" t="s">
        <v>476</v>
      </c>
      <c r="C832" s="357" t="s">
        <v>477</v>
      </c>
      <c r="D832" s="358">
        <v>1021011</v>
      </c>
      <c r="E832" s="358">
        <v>1</v>
      </c>
      <c r="F832" s="358"/>
      <c r="G832" s="358">
        <v>767</v>
      </c>
      <c r="H832" s="358">
        <v>12.7</v>
      </c>
      <c r="I832" s="358"/>
      <c r="J832" s="358" t="s">
        <v>219</v>
      </c>
      <c r="K832" s="359" t="b">
        <f t="shared" si="32"/>
        <v>1</v>
      </c>
      <c r="L832" s="359">
        <v>5</v>
      </c>
      <c r="M832" s="360">
        <v>2021</v>
      </c>
      <c r="N832" s="361">
        <v>0</v>
      </c>
      <c r="O832" s="362">
        <v>42642</v>
      </c>
      <c r="P832" s="362">
        <v>42642</v>
      </c>
    </row>
    <row r="833" spans="1:16" ht="14.25">
      <c r="A833" s="356">
        <v>2016</v>
      </c>
      <c r="B833" s="357" t="s">
        <v>476</v>
      </c>
      <c r="C833" s="357" t="s">
        <v>477</v>
      </c>
      <c r="D833" s="358">
        <v>1021011</v>
      </c>
      <c r="E833" s="358">
        <v>1</v>
      </c>
      <c r="F833" s="358"/>
      <c r="G833" s="358">
        <v>767</v>
      </c>
      <c r="H833" s="358">
        <v>12.7</v>
      </c>
      <c r="I833" s="358"/>
      <c r="J833" s="358" t="s">
        <v>219</v>
      </c>
      <c r="K833" s="359" t="b">
        <f t="shared" si="32"/>
        <v>1</v>
      </c>
      <c r="L833" s="359">
        <v>7</v>
      </c>
      <c r="M833" s="360">
        <v>2023</v>
      </c>
      <c r="N833" s="361">
        <v>0</v>
      </c>
      <c r="O833" s="362">
        <v>42642</v>
      </c>
      <c r="P833" s="362">
        <v>42642</v>
      </c>
    </row>
    <row r="834" spans="1:16" ht="14.25">
      <c r="A834" s="356">
        <v>2016</v>
      </c>
      <c r="B834" s="357" t="s">
        <v>476</v>
      </c>
      <c r="C834" s="357" t="s">
        <v>477</v>
      </c>
      <c r="D834" s="358">
        <v>1021011</v>
      </c>
      <c r="E834" s="358">
        <v>1</v>
      </c>
      <c r="F834" s="358"/>
      <c r="G834" s="358">
        <v>767</v>
      </c>
      <c r="H834" s="358">
        <v>12.7</v>
      </c>
      <c r="I834" s="358"/>
      <c r="J834" s="358" t="s">
        <v>219</v>
      </c>
      <c r="K834" s="359" t="b">
        <f t="shared" si="32"/>
        <v>1</v>
      </c>
      <c r="L834" s="359">
        <v>0</v>
      </c>
      <c r="M834" s="360">
        <v>2016</v>
      </c>
      <c r="N834" s="361">
        <v>0</v>
      </c>
      <c r="O834" s="362">
        <v>42642</v>
      </c>
      <c r="P834" s="362">
        <v>42642</v>
      </c>
    </row>
    <row r="835" spans="1:16" ht="14.25">
      <c r="A835" s="356">
        <v>2016</v>
      </c>
      <c r="B835" s="357" t="s">
        <v>476</v>
      </c>
      <c r="C835" s="357" t="s">
        <v>477</v>
      </c>
      <c r="D835" s="358">
        <v>1021011</v>
      </c>
      <c r="E835" s="358">
        <v>1</v>
      </c>
      <c r="F835" s="358"/>
      <c r="G835" s="358">
        <v>767</v>
      </c>
      <c r="H835" s="358">
        <v>12.7</v>
      </c>
      <c r="I835" s="358"/>
      <c r="J835" s="358" t="s">
        <v>219</v>
      </c>
      <c r="K835" s="359" t="b">
        <f t="shared" si="32"/>
        <v>1</v>
      </c>
      <c r="L835" s="359">
        <v>1</v>
      </c>
      <c r="M835" s="360">
        <v>2017</v>
      </c>
      <c r="N835" s="361">
        <v>0</v>
      </c>
      <c r="O835" s="362">
        <v>42642</v>
      </c>
      <c r="P835" s="362">
        <v>42642</v>
      </c>
    </row>
    <row r="836" spans="1:16" ht="14.25">
      <c r="A836" s="356">
        <v>2016</v>
      </c>
      <c r="B836" s="357" t="s">
        <v>476</v>
      </c>
      <c r="C836" s="357" t="s">
        <v>477</v>
      </c>
      <c r="D836" s="358">
        <v>1021011</v>
      </c>
      <c r="E836" s="358">
        <v>1</v>
      </c>
      <c r="F836" s="358"/>
      <c r="G836" s="358">
        <v>767</v>
      </c>
      <c r="H836" s="358">
        <v>12.7</v>
      </c>
      <c r="I836" s="358"/>
      <c r="J836" s="358" t="s">
        <v>219</v>
      </c>
      <c r="K836" s="359" t="b">
        <f t="shared" si="32"/>
        <v>1</v>
      </c>
      <c r="L836" s="359">
        <v>8</v>
      </c>
      <c r="M836" s="360">
        <v>2024</v>
      </c>
      <c r="N836" s="361">
        <v>0</v>
      </c>
      <c r="O836" s="362">
        <v>42642</v>
      </c>
      <c r="P836" s="362">
        <v>42642</v>
      </c>
    </row>
    <row r="837" spans="1:16" ht="14.25">
      <c r="A837" s="356">
        <v>2016</v>
      </c>
      <c r="B837" s="357" t="s">
        <v>476</v>
      </c>
      <c r="C837" s="357" t="s">
        <v>477</v>
      </c>
      <c r="D837" s="358">
        <v>1021011</v>
      </c>
      <c r="E837" s="358">
        <v>1</v>
      </c>
      <c r="F837" s="358"/>
      <c r="G837" s="358">
        <v>767</v>
      </c>
      <c r="H837" s="358">
        <v>12.7</v>
      </c>
      <c r="I837" s="358"/>
      <c r="J837" s="358" t="s">
        <v>219</v>
      </c>
      <c r="K837" s="359" t="b">
        <f t="shared" si="32"/>
        <v>1</v>
      </c>
      <c r="L837" s="359">
        <v>3</v>
      </c>
      <c r="M837" s="360">
        <v>2019</v>
      </c>
      <c r="N837" s="361">
        <v>0</v>
      </c>
      <c r="O837" s="362">
        <v>42642</v>
      </c>
      <c r="P837" s="362">
        <v>42642</v>
      </c>
    </row>
    <row r="838" spans="1:16" ht="14.25">
      <c r="A838" s="356">
        <v>2016</v>
      </c>
      <c r="B838" s="357" t="s">
        <v>476</v>
      </c>
      <c r="C838" s="357" t="s">
        <v>477</v>
      </c>
      <c r="D838" s="358">
        <v>1021011</v>
      </c>
      <c r="E838" s="358">
        <v>1</v>
      </c>
      <c r="F838" s="358"/>
      <c r="G838" s="358">
        <v>767</v>
      </c>
      <c r="H838" s="358">
        <v>12.7</v>
      </c>
      <c r="I838" s="358"/>
      <c r="J838" s="358" t="s">
        <v>219</v>
      </c>
      <c r="K838" s="359" t="b">
        <f t="shared" si="32"/>
        <v>1</v>
      </c>
      <c r="L838" s="359">
        <v>6</v>
      </c>
      <c r="M838" s="360">
        <v>2022</v>
      </c>
      <c r="N838" s="361">
        <v>0</v>
      </c>
      <c r="O838" s="362">
        <v>42642</v>
      </c>
      <c r="P838" s="362">
        <v>42642</v>
      </c>
    </row>
    <row r="839" spans="1:16" ht="14.25">
      <c r="A839" s="356">
        <v>2016</v>
      </c>
      <c r="B839" s="357" t="s">
        <v>476</v>
      </c>
      <c r="C839" s="357" t="s">
        <v>477</v>
      </c>
      <c r="D839" s="358">
        <v>1021011</v>
      </c>
      <c r="E839" s="358">
        <v>1</v>
      </c>
      <c r="F839" s="358"/>
      <c r="G839" s="358">
        <v>767</v>
      </c>
      <c r="H839" s="358">
        <v>12.7</v>
      </c>
      <c r="I839" s="358"/>
      <c r="J839" s="358" t="s">
        <v>219</v>
      </c>
      <c r="K839" s="359" t="b">
        <f t="shared" si="32"/>
        <v>1</v>
      </c>
      <c r="L839" s="359">
        <v>4</v>
      </c>
      <c r="M839" s="360">
        <v>2020</v>
      </c>
      <c r="N839" s="361">
        <v>0</v>
      </c>
      <c r="O839" s="362">
        <v>42642</v>
      </c>
      <c r="P839" s="362">
        <v>42642</v>
      </c>
    </row>
    <row r="840" spans="1:16" ht="14.25">
      <c r="A840" s="356">
        <v>2016</v>
      </c>
      <c r="B840" s="357" t="s">
        <v>476</v>
      </c>
      <c r="C840" s="357" t="s">
        <v>477</v>
      </c>
      <c r="D840" s="358">
        <v>1021011</v>
      </c>
      <c r="E840" s="358">
        <v>1</v>
      </c>
      <c r="F840" s="358"/>
      <c r="G840" s="358">
        <v>767</v>
      </c>
      <c r="H840" s="358">
        <v>12.7</v>
      </c>
      <c r="I840" s="358"/>
      <c r="J840" s="358" t="s">
        <v>219</v>
      </c>
      <c r="K840" s="359" t="b">
        <f t="shared" si="32"/>
        <v>1</v>
      </c>
      <c r="L840" s="359">
        <v>2</v>
      </c>
      <c r="M840" s="360">
        <v>2018</v>
      </c>
      <c r="N840" s="361">
        <v>0</v>
      </c>
      <c r="O840" s="362">
        <v>42642</v>
      </c>
      <c r="P840" s="362">
        <v>42642</v>
      </c>
    </row>
    <row r="841" spans="1:16" ht="14.25">
      <c r="A841" s="356">
        <v>2016</v>
      </c>
      <c r="B841" s="357" t="s">
        <v>476</v>
      </c>
      <c r="C841" s="357" t="s">
        <v>477</v>
      </c>
      <c r="D841" s="358">
        <v>1021011</v>
      </c>
      <c r="E841" s="358">
        <v>1</v>
      </c>
      <c r="F841" s="358"/>
      <c r="G841" s="358">
        <v>765</v>
      </c>
      <c r="H841" s="358">
        <v>12.6</v>
      </c>
      <c r="I841" s="358"/>
      <c r="J841" s="358" t="s">
        <v>215</v>
      </c>
      <c r="K841" s="359" t="b">
        <f t="shared" si="32"/>
        <v>1</v>
      </c>
      <c r="L841" s="359">
        <v>4</v>
      </c>
      <c r="M841" s="360">
        <v>2020</v>
      </c>
      <c r="N841" s="361">
        <v>0</v>
      </c>
      <c r="O841" s="362">
        <v>42642</v>
      </c>
      <c r="P841" s="362">
        <v>42642</v>
      </c>
    </row>
    <row r="842" spans="1:16" ht="14.25">
      <c r="A842" s="356">
        <v>2016</v>
      </c>
      <c r="B842" s="357" t="s">
        <v>476</v>
      </c>
      <c r="C842" s="357" t="s">
        <v>477</v>
      </c>
      <c r="D842" s="358">
        <v>1021011</v>
      </c>
      <c r="E842" s="358">
        <v>1</v>
      </c>
      <c r="F842" s="358"/>
      <c r="G842" s="358">
        <v>765</v>
      </c>
      <c r="H842" s="358">
        <v>12.6</v>
      </c>
      <c r="I842" s="358"/>
      <c r="J842" s="358" t="s">
        <v>215</v>
      </c>
      <c r="K842" s="359" t="b">
        <f t="shared" si="32"/>
        <v>1</v>
      </c>
      <c r="L842" s="359">
        <v>1</v>
      </c>
      <c r="M842" s="360">
        <v>2017</v>
      </c>
      <c r="N842" s="361">
        <v>0</v>
      </c>
      <c r="O842" s="362">
        <v>42642</v>
      </c>
      <c r="P842" s="362">
        <v>42642</v>
      </c>
    </row>
    <row r="843" spans="1:16" ht="14.25">
      <c r="A843" s="356">
        <v>2016</v>
      </c>
      <c r="B843" s="357" t="s">
        <v>476</v>
      </c>
      <c r="C843" s="357" t="s">
        <v>477</v>
      </c>
      <c r="D843" s="358">
        <v>1021011</v>
      </c>
      <c r="E843" s="358">
        <v>1</v>
      </c>
      <c r="F843" s="358"/>
      <c r="G843" s="358">
        <v>765</v>
      </c>
      <c r="H843" s="358">
        <v>12.6</v>
      </c>
      <c r="I843" s="358"/>
      <c r="J843" s="358" t="s">
        <v>215</v>
      </c>
      <c r="K843" s="359" t="b">
        <f t="shared" si="32"/>
        <v>1</v>
      </c>
      <c r="L843" s="359">
        <v>2</v>
      </c>
      <c r="M843" s="360">
        <v>2018</v>
      </c>
      <c r="N843" s="361">
        <v>0</v>
      </c>
      <c r="O843" s="362">
        <v>42642</v>
      </c>
      <c r="P843" s="362">
        <v>42642</v>
      </c>
    </row>
    <row r="844" spans="1:16" ht="14.25">
      <c r="A844" s="356">
        <v>2016</v>
      </c>
      <c r="B844" s="357" t="s">
        <v>476</v>
      </c>
      <c r="C844" s="357" t="s">
        <v>477</v>
      </c>
      <c r="D844" s="358">
        <v>1021011</v>
      </c>
      <c r="E844" s="358">
        <v>1</v>
      </c>
      <c r="F844" s="358"/>
      <c r="G844" s="358">
        <v>765</v>
      </c>
      <c r="H844" s="358">
        <v>12.6</v>
      </c>
      <c r="I844" s="358"/>
      <c r="J844" s="358" t="s">
        <v>215</v>
      </c>
      <c r="K844" s="359" t="b">
        <f t="shared" si="32"/>
        <v>1</v>
      </c>
      <c r="L844" s="359">
        <v>0</v>
      </c>
      <c r="M844" s="360">
        <v>2016</v>
      </c>
      <c r="N844" s="361">
        <v>0</v>
      </c>
      <c r="O844" s="362">
        <v>42642</v>
      </c>
      <c r="P844" s="362">
        <v>42642</v>
      </c>
    </row>
    <row r="845" spans="1:16" ht="14.25">
      <c r="A845" s="356">
        <v>2016</v>
      </c>
      <c r="B845" s="357" t="s">
        <v>476</v>
      </c>
      <c r="C845" s="357" t="s">
        <v>477</v>
      </c>
      <c r="D845" s="358">
        <v>1021011</v>
      </c>
      <c r="E845" s="358">
        <v>1</v>
      </c>
      <c r="F845" s="358"/>
      <c r="G845" s="358">
        <v>765</v>
      </c>
      <c r="H845" s="358">
        <v>12.6</v>
      </c>
      <c r="I845" s="358"/>
      <c r="J845" s="358" t="s">
        <v>215</v>
      </c>
      <c r="K845" s="359" t="b">
        <f t="shared" si="32"/>
        <v>1</v>
      </c>
      <c r="L845" s="359">
        <v>5</v>
      </c>
      <c r="M845" s="360">
        <v>2021</v>
      </c>
      <c r="N845" s="361">
        <v>0</v>
      </c>
      <c r="O845" s="362">
        <v>42642</v>
      </c>
      <c r="P845" s="362">
        <v>42642</v>
      </c>
    </row>
    <row r="846" spans="1:16" ht="14.25">
      <c r="A846" s="356">
        <v>2016</v>
      </c>
      <c r="B846" s="357" t="s">
        <v>476</v>
      </c>
      <c r="C846" s="357" t="s">
        <v>477</v>
      </c>
      <c r="D846" s="358">
        <v>1021011</v>
      </c>
      <c r="E846" s="358">
        <v>1</v>
      </c>
      <c r="F846" s="358"/>
      <c r="G846" s="358">
        <v>765</v>
      </c>
      <c r="H846" s="358">
        <v>12.6</v>
      </c>
      <c r="I846" s="358"/>
      <c r="J846" s="358" t="s">
        <v>215</v>
      </c>
      <c r="K846" s="359" t="b">
        <f t="shared" si="32"/>
        <v>1</v>
      </c>
      <c r="L846" s="359">
        <v>8</v>
      </c>
      <c r="M846" s="360">
        <v>2024</v>
      </c>
      <c r="N846" s="361">
        <v>0</v>
      </c>
      <c r="O846" s="362">
        <v>42642</v>
      </c>
      <c r="P846" s="362">
        <v>42642</v>
      </c>
    </row>
    <row r="847" spans="1:16" ht="14.25">
      <c r="A847" s="356">
        <v>2016</v>
      </c>
      <c r="B847" s="357" t="s">
        <v>476</v>
      </c>
      <c r="C847" s="357" t="s">
        <v>477</v>
      </c>
      <c r="D847" s="358">
        <v>1021011</v>
      </c>
      <c r="E847" s="358">
        <v>1</v>
      </c>
      <c r="F847" s="358"/>
      <c r="G847" s="358">
        <v>765</v>
      </c>
      <c r="H847" s="358">
        <v>12.6</v>
      </c>
      <c r="I847" s="358"/>
      <c r="J847" s="358" t="s">
        <v>215</v>
      </c>
      <c r="K847" s="359" t="b">
        <f t="shared" si="32"/>
        <v>1</v>
      </c>
      <c r="L847" s="359">
        <v>6</v>
      </c>
      <c r="M847" s="360">
        <v>2022</v>
      </c>
      <c r="N847" s="361">
        <v>0</v>
      </c>
      <c r="O847" s="362">
        <v>42642</v>
      </c>
      <c r="P847" s="362">
        <v>42642</v>
      </c>
    </row>
    <row r="848" spans="1:16" ht="14.25">
      <c r="A848" s="356">
        <v>2016</v>
      </c>
      <c r="B848" s="357" t="s">
        <v>476</v>
      </c>
      <c r="C848" s="357" t="s">
        <v>477</v>
      </c>
      <c r="D848" s="358">
        <v>1021011</v>
      </c>
      <c r="E848" s="358">
        <v>1</v>
      </c>
      <c r="F848" s="358"/>
      <c r="G848" s="358">
        <v>765</v>
      </c>
      <c r="H848" s="358">
        <v>12.6</v>
      </c>
      <c r="I848" s="358"/>
      <c r="J848" s="358" t="s">
        <v>215</v>
      </c>
      <c r="K848" s="359" t="b">
        <f t="shared" si="32"/>
        <v>1</v>
      </c>
      <c r="L848" s="359">
        <v>7</v>
      </c>
      <c r="M848" s="360">
        <v>2023</v>
      </c>
      <c r="N848" s="361">
        <v>0</v>
      </c>
      <c r="O848" s="362">
        <v>42642</v>
      </c>
      <c r="P848" s="362">
        <v>42642</v>
      </c>
    </row>
    <row r="849" spans="1:16" ht="14.25">
      <c r="A849" s="356">
        <v>2016</v>
      </c>
      <c r="B849" s="357" t="s">
        <v>476</v>
      </c>
      <c r="C849" s="357" t="s">
        <v>477</v>
      </c>
      <c r="D849" s="358">
        <v>1021011</v>
      </c>
      <c r="E849" s="358">
        <v>1</v>
      </c>
      <c r="F849" s="358"/>
      <c r="G849" s="358">
        <v>765</v>
      </c>
      <c r="H849" s="358">
        <v>12.6</v>
      </c>
      <c r="I849" s="358"/>
      <c r="J849" s="358" t="s">
        <v>215</v>
      </c>
      <c r="K849" s="359" t="b">
        <f t="shared" si="32"/>
        <v>1</v>
      </c>
      <c r="L849" s="359">
        <v>3</v>
      </c>
      <c r="M849" s="360">
        <v>2019</v>
      </c>
      <c r="N849" s="361">
        <v>0</v>
      </c>
      <c r="O849" s="362">
        <v>42642</v>
      </c>
      <c r="P849" s="362">
        <v>42642</v>
      </c>
    </row>
    <row r="850" spans="1:16" ht="14.25">
      <c r="A850" s="356">
        <v>2016</v>
      </c>
      <c r="B850" s="357" t="s">
        <v>476</v>
      </c>
      <c r="C850" s="357" t="s">
        <v>477</v>
      </c>
      <c r="D850" s="358">
        <v>1021011</v>
      </c>
      <c r="E850" s="358">
        <v>1</v>
      </c>
      <c r="F850" s="358"/>
      <c r="G850" s="358">
        <v>1020</v>
      </c>
      <c r="H850" s="358">
        <v>16.3</v>
      </c>
      <c r="I850" s="358"/>
      <c r="J850" s="358" t="s">
        <v>484</v>
      </c>
      <c r="K850" s="359" t="b">
        <f t="shared" si="32"/>
        <v>1</v>
      </c>
      <c r="L850" s="359">
        <v>2</v>
      </c>
      <c r="M850" s="360">
        <v>2018</v>
      </c>
      <c r="N850" s="361">
        <v>0</v>
      </c>
      <c r="O850" s="362">
        <v>42642</v>
      </c>
      <c r="P850" s="362">
        <v>42642</v>
      </c>
    </row>
    <row r="851" spans="1:16" ht="14.25">
      <c r="A851" s="356">
        <v>2016</v>
      </c>
      <c r="B851" s="357" t="s">
        <v>476</v>
      </c>
      <c r="C851" s="357" t="s">
        <v>477</v>
      </c>
      <c r="D851" s="358">
        <v>1021011</v>
      </c>
      <c r="E851" s="358">
        <v>1</v>
      </c>
      <c r="F851" s="358"/>
      <c r="G851" s="358">
        <v>1020</v>
      </c>
      <c r="H851" s="358">
        <v>16.3</v>
      </c>
      <c r="I851" s="358"/>
      <c r="J851" s="358" t="s">
        <v>484</v>
      </c>
      <c r="K851" s="359" t="b">
        <f t="shared" si="32"/>
        <v>1</v>
      </c>
      <c r="L851" s="359">
        <v>8</v>
      </c>
      <c r="M851" s="360">
        <v>2024</v>
      </c>
      <c r="N851" s="361">
        <v>0</v>
      </c>
      <c r="O851" s="362">
        <v>42642</v>
      </c>
      <c r="P851" s="362">
        <v>42642</v>
      </c>
    </row>
    <row r="852" spans="1:16" ht="14.25">
      <c r="A852" s="356">
        <v>2016</v>
      </c>
      <c r="B852" s="357" t="s">
        <v>476</v>
      </c>
      <c r="C852" s="357" t="s">
        <v>477</v>
      </c>
      <c r="D852" s="358">
        <v>1021011</v>
      </c>
      <c r="E852" s="358">
        <v>1</v>
      </c>
      <c r="F852" s="358"/>
      <c r="G852" s="358">
        <v>1020</v>
      </c>
      <c r="H852" s="358">
        <v>16.3</v>
      </c>
      <c r="I852" s="358"/>
      <c r="J852" s="358" t="s">
        <v>484</v>
      </c>
      <c r="K852" s="359" t="b">
        <f t="shared" si="32"/>
        <v>1</v>
      </c>
      <c r="L852" s="359">
        <v>7</v>
      </c>
      <c r="M852" s="360">
        <v>2023</v>
      </c>
      <c r="N852" s="361">
        <v>0</v>
      </c>
      <c r="O852" s="362">
        <v>42642</v>
      </c>
      <c r="P852" s="362">
        <v>42642</v>
      </c>
    </row>
    <row r="853" spans="1:16" ht="14.25">
      <c r="A853" s="356">
        <v>2016</v>
      </c>
      <c r="B853" s="357" t="s">
        <v>476</v>
      </c>
      <c r="C853" s="357" t="s">
        <v>477</v>
      </c>
      <c r="D853" s="358">
        <v>1021011</v>
      </c>
      <c r="E853" s="358">
        <v>1</v>
      </c>
      <c r="F853" s="358"/>
      <c r="G853" s="358">
        <v>1020</v>
      </c>
      <c r="H853" s="358">
        <v>16.3</v>
      </c>
      <c r="I853" s="358"/>
      <c r="J853" s="358" t="s">
        <v>484</v>
      </c>
      <c r="K853" s="359" t="b">
        <f t="shared" si="32"/>
        <v>1</v>
      </c>
      <c r="L853" s="359">
        <v>5</v>
      </c>
      <c r="M853" s="360">
        <v>2021</v>
      </c>
      <c r="N853" s="361">
        <v>0</v>
      </c>
      <c r="O853" s="362">
        <v>42642</v>
      </c>
      <c r="P853" s="362">
        <v>42642</v>
      </c>
    </row>
    <row r="854" spans="1:16" ht="14.25">
      <c r="A854" s="356">
        <v>2016</v>
      </c>
      <c r="B854" s="357" t="s">
        <v>476</v>
      </c>
      <c r="C854" s="357" t="s">
        <v>477</v>
      </c>
      <c r="D854" s="358">
        <v>1021011</v>
      </c>
      <c r="E854" s="358">
        <v>1</v>
      </c>
      <c r="F854" s="358"/>
      <c r="G854" s="358">
        <v>1020</v>
      </c>
      <c r="H854" s="358">
        <v>16.3</v>
      </c>
      <c r="I854" s="358"/>
      <c r="J854" s="358" t="s">
        <v>484</v>
      </c>
      <c r="K854" s="359" t="b">
        <f t="shared" si="32"/>
        <v>1</v>
      </c>
      <c r="L854" s="359">
        <v>1</v>
      </c>
      <c r="M854" s="360">
        <v>2017</v>
      </c>
      <c r="N854" s="361">
        <v>0</v>
      </c>
      <c r="O854" s="362">
        <v>42642</v>
      </c>
      <c r="P854" s="362">
        <v>42642</v>
      </c>
    </row>
    <row r="855" spans="1:16" ht="14.25">
      <c r="A855" s="356">
        <v>2016</v>
      </c>
      <c r="B855" s="357" t="s">
        <v>476</v>
      </c>
      <c r="C855" s="357" t="s">
        <v>477</v>
      </c>
      <c r="D855" s="358">
        <v>1021011</v>
      </c>
      <c r="E855" s="358">
        <v>1</v>
      </c>
      <c r="F855" s="358"/>
      <c r="G855" s="358">
        <v>1020</v>
      </c>
      <c r="H855" s="358">
        <v>16.3</v>
      </c>
      <c r="I855" s="358"/>
      <c r="J855" s="358" t="s">
        <v>484</v>
      </c>
      <c r="K855" s="359" t="b">
        <f t="shared" si="32"/>
        <v>1</v>
      </c>
      <c r="L855" s="359">
        <v>3</v>
      </c>
      <c r="M855" s="360">
        <v>2019</v>
      </c>
      <c r="N855" s="361">
        <v>0</v>
      </c>
      <c r="O855" s="362">
        <v>42642</v>
      </c>
      <c r="P855" s="362">
        <v>42642</v>
      </c>
    </row>
    <row r="856" spans="1:16" ht="14.25">
      <c r="A856" s="356">
        <v>2016</v>
      </c>
      <c r="B856" s="357" t="s">
        <v>476</v>
      </c>
      <c r="C856" s="357" t="s">
        <v>477</v>
      </c>
      <c r="D856" s="358">
        <v>1021011</v>
      </c>
      <c r="E856" s="358">
        <v>1</v>
      </c>
      <c r="F856" s="358"/>
      <c r="G856" s="358">
        <v>1020</v>
      </c>
      <c r="H856" s="358">
        <v>16.3</v>
      </c>
      <c r="I856" s="358"/>
      <c r="J856" s="358" t="s">
        <v>484</v>
      </c>
      <c r="K856" s="359" t="b">
        <f t="shared" si="32"/>
        <v>1</v>
      </c>
      <c r="L856" s="359">
        <v>0</v>
      </c>
      <c r="M856" s="360">
        <v>2016</v>
      </c>
      <c r="N856" s="361">
        <v>0</v>
      </c>
      <c r="O856" s="362">
        <v>42642</v>
      </c>
      <c r="P856" s="362">
        <v>42642</v>
      </c>
    </row>
    <row r="857" spans="1:16" ht="14.25">
      <c r="A857" s="356">
        <v>2016</v>
      </c>
      <c r="B857" s="357" t="s">
        <v>476</v>
      </c>
      <c r="C857" s="357" t="s">
        <v>477</v>
      </c>
      <c r="D857" s="358">
        <v>1021011</v>
      </c>
      <c r="E857" s="358">
        <v>1</v>
      </c>
      <c r="F857" s="358"/>
      <c r="G857" s="358">
        <v>1020</v>
      </c>
      <c r="H857" s="358">
        <v>16.3</v>
      </c>
      <c r="I857" s="358"/>
      <c r="J857" s="358" t="s">
        <v>484</v>
      </c>
      <c r="K857" s="359" t="b">
        <f t="shared" si="32"/>
        <v>1</v>
      </c>
      <c r="L857" s="359">
        <v>4</v>
      </c>
      <c r="M857" s="360">
        <v>2020</v>
      </c>
      <c r="N857" s="361">
        <v>0</v>
      </c>
      <c r="O857" s="362">
        <v>42642</v>
      </c>
      <c r="P857" s="362">
        <v>42642</v>
      </c>
    </row>
    <row r="858" spans="1:16" ht="14.25">
      <c r="A858" s="356">
        <v>2016</v>
      </c>
      <c r="B858" s="357" t="s">
        <v>476</v>
      </c>
      <c r="C858" s="357" t="s">
        <v>477</v>
      </c>
      <c r="D858" s="358">
        <v>1021011</v>
      </c>
      <c r="E858" s="358">
        <v>1</v>
      </c>
      <c r="F858" s="358"/>
      <c r="G858" s="358">
        <v>1020</v>
      </c>
      <c r="H858" s="358">
        <v>16.3</v>
      </c>
      <c r="I858" s="358"/>
      <c r="J858" s="358" t="s">
        <v>484</v>
      </c>
      <c r="K858" s="359" t="b">
        <f t="shared" si="32"/>
        <v>1</v>
      </c>
      <c r="L858" s="359">
        <v>6</v>
      </c>
      <c r="M858" s="360">
        <v>2022</v>
      </c>
      <c r="N858" s="361">
        <v>0</v>
      </c>
      <c r="O858" s="362">
        <v>42642</v>
      </c>
      <c r="P858" s="362">
        <v>42642</v>
      </c>
    </row>
    <row r="859" spans="1:16" ht="14.25">
      <c r="A859" s="356">
        <v>2016</v>
      </c>
      <c r="B859" s="357" t="s">
        <v>476</v>
      </c>
      <c r="C859" s="357" t="s">
        <v>477</v>
      </c>
      <c r="D859" s="358">
        <v>1021011</v>
      </c>
      <c r="E859" s="358">
        <v>1</v>
      </c>
      <c r="F859" s="358"/>
      <c r="G859" s="358">
        <v>670</v>
      </c>
      <c r="H859" s="358">
        <v>12.1</v>
      </c>
      <c r="I859" s="358"/>
      <c r="J859" s="358" t="s">
        <v>174</v>
      </c>
      <c r="K859" s="359" t="b">
        <f t="shared" si="32"/>
        <v>1</v>
      </c>
      <c r="L859" s="359">
        <v>8</v>
      </c>
      <c r="M859" s="360">
        <v>2024</v>
      </c>
      <c r="N859" s="361">
        <v>0</v>
      </c>
      <c r="O859" s="362">
        <v>42642</v>
      </c>
      <c r="P859" s="362">
        <v>42642</v>
      </c>
    </row>
    <row r="860" spans="1:16" ht="14.25">
      <c r="A860" s="356">
        <v>2016</v>
      </c>
      <c r="B860" s="357" t="s">
        <v>476</v>
      </c>
      <c r="C860" s="357" t="s">
        <v>477</v>
      </c>
      <c r="D860" s="358">
        <v>1021011</v>
      </c>
      <c r="E860" s="358">
        <v>1</v>
      </c>
      <c r="F860" s="358"/>
      <c r="G860" s="358">
        <v>670</v>
      </c>
      <c r="H860" s="358">
        <v>12.1</v>
      </c>
      <c r="I860" s="358"/>
      <c r="J860" s="358" t="s">
        <v>174</v>
      </c>
      <c r="K860" s="359" t="b">
        <f t="shared" si="32"/>
        <v>1</v>
      </c>
      <c r="L860" s="359">
        <v>4</v>
      </c>
      <c r="M860" s="360">
        <v>2020</v>
      </c>
      <c r="N860" s="361">
        <v>0</v>
      </c>
      <c r="O860" s="362">
        <v>42642</v>
      </c>
      <c r="P860" s="362">
        <v>42642</v>
      </c>
    </row>
    <row r="861" spans="1:16" ht="14.25">
      <c r="A861" s="356">
        <v>2016</v>
      </c>
      <c r="B861" s="357" t="s">
        <v>476</v>
      </c>
      <c r="C861" s="357" t="s">
        <v>477</v>
      </c>
      <c r="D861" s="358">
        <v>1021011</v>
      </c>
      <c r="E861" s="358">
        <v>1</v>
      </c>
      <c r="F861" s="358"/>
      <c r="G861" s="358">
        <v>670</v>
      </c>
      <c r="H861" s="358">
        <v>12.1</v>
      </c>
      <c r="I861" s="358"/>
      <c r="J861" s="358" t="s">
        <v>174</v>
      </c>
      <c r="K861" s="359" t="b">
        <f t="shared" si="32"/>
        <v>1</v>
      </c>
      <c r="L861" s="359">
        <v>0</v>
      </c>
      <c r="M861" s="360">
        <v>2016</v>
      </c>
      <c r="N861" s="361">
        <v>498545.75</v>
      </c>
      <c r="O861" s="362">
        <v>42642</v>
      </c>
      <c r="P861" s="362">
        <v>42642</v>
      </c>
    </row>
    <row r="862" spans="1:16" ht="14.25">
      <c r="A862" s="356">
        <v>2016</v>
      </c>
      <c r="B862" s="357" t="s">
        <v>476</v>
      </c>
      <c r="C862" s="357" t="s">
        <v>477</v>
      </c>
      <c r="D862" s="358">
        <v>1021011</v>
      </c>
      <c r="E862" s="358">
        <v>1</v>
      </c>
      <c r="F862" s="358"/>
      <c r="G862" s="358">
        <v>670</v>
      </c>
      <c r="H862" s="358">
        <v>12.1</v>
      </c>
      <c r="I862" s="358"/>
      <c r="J862" s="358" t="s">
        <v>174</v>
      </c>
      <c r="K862" s="359" t="b">
        <f t="shared" si="32"/>
        <v>1</v>
      </c>
      <c r="L862" s="359">
        <v>2</v>
      </c>
      <c r="M862" s="360">
        <v>2018</v>
      </c>
      <c r="N862" s="361">
        <v>0</v>
      </c>
      <c r="O862" s="362">
        <v>42642</v>
      </c>
      <c r="P862" s="362">
        <v>42642</v>
      </c>
    </row>
    <row r="863" spans="1:16" ht="14.25">
      <c r="A863" s="356">
        <v>2016</v>
      </c>
      <c r="B863" s="357" t="s">
        <v>476</v>
      </c>
      <c r="C863" s="357" t="s">
        <v>477</v>
      </c>
      <c r="D863" s="358">
        <v>1021011</v>
      </c>
      <c r="E863" s="358">
        <v>1</v>
      </c>
      <c r="F863" s="358"/>
      <c r="G863" s="358">
        <v>670</v>
      </c>
      <c r="H863" s="358">
        <v>12.1</v>
      </c>
      <c r="I863" s="358"/>
      <c r="J863" s="358" t="s">
        <v>174</v>
      </c>
      <c r="K863" s="359" t="b">
        <f t="shared" si="32"/>
        <v>1</v>
      </c>
      <c r="L863" s="359">
        <v>3</v>
      </c>
      <c r="M863" s="360">
        <v>2019</v>
      </c>
      <c r="N863" s="361">
        <v>0</v>
      </c>
      <c r="O863" s="362">
        <v>42642</v>
      </c>
      <c r="P863" s="362">
        <v>42642</v>
      </c>
    </row>
    <row r="864" spans="1:16" ht="14.25">
      <c r="A864" s="356">
        <v>2016</v>
      </c>
      <c r="B864" s="357" t="s">
        <v>476</v>
      </c>
      <c r="C864" s="357" t="s">
        <v>477</v>
      </c>
      <c r="D864" s="358">
        <v>1021011</v>
      </c>
      <c r="E864" s="358">
        <v>1</v>
      </c>
      <c r="F864" s="358"/>
      <c r="G864" s="358">
        <v>670</v>
      </c>
      <c r="H864" s="358">
        <v>12.1</v>
      </c>
      <c r="I864" s="358"/>
      <c r="J864" s="358" t="s">
        <v>174</v>
      </c>
      <c r="K864" s="359" t="b">
        <f t="shared" si="32"/>
        <v>1</v>
      </c>
      <c r="L864" s="359">
        <v>5</v>
      </c>
      <c r="M864" s="360">
        <v>2021</v>
      </c>
      <c r="N864" s="361">
        <v>0</v>
      </c>
      <c r="O864" s="362">
        <v>42642</v>
      </c>
      <c r="P864" s="362">
        <v>42642</v>
      </c>
    </row>
    <row r="865" spans="1:16" ht="14.25">
      <c r="A865" s="356">
        <v>2016</v>
      </c>
      <c r="B865" s="357" t="s">
        <v>476</v>
      </c>
      <c r="C865" s="357" t="s">
        <v>477</v>
      </c>
      <c r="D865" s="358">
        <v>1021011</v>
      </c>
      <c r="E865" s="358">
        <v>1</v>
      </c>
      <c r="F865" s="358"/>
      <c r="G865" s="358">
        <v>670</v>
      </c>
      <c r="H865" s="358">
        <v>12.1</v>
      </c>
      <c r="I865" s="358"/>
      <c r="J865" s="358" t="s">
        <v>174</v>
      </c>
      <c r="K865" s="359" t="b">
        <f t="shared" si="32"/>
        <v>1</v>
      </c>
      <c r="L865" s="359">
        <v>7</v>
      </c>
      <c r="M865" s="360">
        <v>2023</v>
      </c>
      <c r="N865" s="361">
        <v>0</v>
      </c>
      <c r="O865" s="362">
        <v>42642</v>
      </c>
      <c r="P865" s="362">
        <v>42642</v>
      </c>
    </row>
    <row r="866" spans="1:16" ht="14.25">
      <c r="A866" s="356">
        <v>2016</v>
      </c>
      <c r="B866" s="357" t="s">
        <v>476</v>
      </c>
      <c r="C866" s="357" t="s">
        <v>477</v>
      </c>
      <c r="D866" s="358">
        <v>1021011</v>
      </c>
      <c r="E866" s="358">
        <v>1</v>
      </c>
      <c r="F866" s="358"/>
      <c r="G866" s="358">
        <v>670</v>
      </c>
      <c r="H866" s="358">
        <v>12.1</v>
      </c>
      <c r="I866" s="358"/>
      <c r="J866" s="358" t="s">
        <v>174</v>
      </c>
      <c r="K866" s="359" t="b">
        <f t="shared" si="32"/>
        <v>1</v>
      </c>
      <c r="L866" s="359">
        <v>6</v>
      </c>
      <c r="M866" s="360">
        <v>2022</v>
      </c>
      <c r="N866" s="361">
        <v>0</v>
      </c>
      <c r="O866" s="362">
        <v>42642</v>
      </c>
      <c r="P866" s="362">
        <v>42642</v>
      </c>
    </row>
    <row r="867" spans="1:16" ht="14.25">
      <c r="A867" s="356">
        <v>2016</v>
      </c>
      <c r="B867" s="357" t="s">
        <v>476</v>
      </c>
      <c r="C867" s="357" t="s">
        <v>477</v>
      </c>
      <c r="D867" s="358">
        <v>1021011</v>
      </c>
      <c r="E867" s="358">
        <v>1</v>
      </c>
      <c r="F867" s="358"/>
      <c r="G867" s="358">
        <v>670</v>
      </c>
      <c r="H867" s="358">
        <v>12.1</v>
      </c>
      <c r="I867" s="358"/>
      <c r="J867" s="358" t="s">
        <v>174</v>
      </c>
      <c r="K867" s="359" t="b">
        <f t="shared" si="32"/>
        <v>1</v>
      </c>
      <c r="L867" s="359">
        <v>1</v>
      </c>
      <c r="M867" s="360">
        <v>2017</v>
      </c>
      <c r="N867" s="361">
        <v>0</v>
      </c>
      <c r="O867" s="362">
        <v>42642</v>
      </c>
      <c r="P867" s="362">
        <v>42642</v>
      </c>
    </row>
    <row r="868" spans="1:16" ht="14.25">
      <c r="A868" s="356">
        <v>2016</v>
      </c>
      <c r="B868" s="357" t="s">
        <v>476</v>
      </c>
      <c r="C868" s="357" t="s">
        <v>477</v>
      </c>
      <c r="D868" s="358">
        <v>1021011</v>
      </c>
      <c r="E868" s="358">
        <v>1</v>
      </c>
      <c r="F868" s="358"/>
      <c r="G868" s="358">
        <v>182</v>
      </c>
      <c r="H868" s="358" t="s">
        <v>59</v>
      </c>
      <c r="I868" s="358"/>
      <c r="J868" s="358" t="s">
        <v>60</v>
      </c>
      <c r="K868" s="359" t="b">
        <f aca="true" t="shared" si="33" ref="K868:K875">FALSE</f>
        <v>0</v>
      </c>
      <c r="L868" s="359">
        <v>2</v>
      </c>
      <c r="M868" s="360">
        <v>2018</v>
      </c>
      <c r="N868" s="361">
        <v>0</v>
      </c>
      <c r="O868" s="362">
        <v>42642</v>
      </c>
      <c r="P868" s="362">
        <v>42642</v>
      </c>
    </row>
    <row r="869" spans="1:16" ht="14.25">
      <c r="A869" s="356">
        <v>2016</v>
      </c>
      <c r="B869" s="357" t="s">
        <v>476</v>
      </c>
      <c r="C869" s="357" t="s">
        <v>477</v>
      </c>
      <c r="D869" s="358">
        <v>1021011</v>
      </c>
      <c r="E869" s="358">
        <v>1</v>
      </c>
      <c r="F869" s="358"/>
      <c r="G869" s="358">
        <v>182</v>
      </c>
      <c r="H869" s="358" t="s">
        <v>59</v>
      </c>
      <c r="I869" s="358"/>
      <c r="J869" s="358" t="s">
        <v>60</v>
      </c>
      <c r="K869" s="359" t="b">
        <f t="shared" si="33"/>
        <v>0</v>
      </c>
      <c r="L869" s="359">
        <v>4</v>
      </c>
      <c r="M869" s="360">
        <v>2020</v>
      </c>
      <c r="N869" s="361">
        <v>0</v>
      </c>
      <c r="O869" s="362">
        <v>42642</v>
      </c>
      <c r="P869" s="362">
        <v>42642</v>
      </c>
    </row>
    <row r="870" spans="1:16" ht="14.25">
      <c r="A870" s="356">
        <v>2016</v>
      </c>
      <c r="B870" s="357" t="s">
        <v>476</v>
      </c>
      <c r="C870" s="357" t="s">
        <v>477</v>
      </c>
      <c r="D870" s="358">
        <v>1021011</v>
      </c>
      <c r="E870" s="358">
        <v>1</v>
      </c>
      <c r="F870" s="358"/>
      <c r="G870" s="358">
        <v>182</v>
      </c>
      <c r="H870" s="358" t="s">
        <v>59</v>
      </c>
      <c r="I870" s="358"/>
      <c r="J870" s="358" t="s">
        <v>60</v>
      </c>
      <c r="K870" s="359" t="b">
        <f t="shared" si="33"/>
        <v>0</v>
      </c>
      <c r="L870" s="359">
        <v>6</v>
      </c>
      <c r="M870" s="360">
        <v>2022</v>
      </c>
      <c r="N870" s="361">
        <v>0</v>
      </c>
      <c r="O870" s="362">
        <v>42642</v>
      </c>
      <c r="P870" s="362">
        <v>42642</v>
      </c>
    </row>
    <row r="871" spans="1:16" ht="14.25">
      <c r="A871" s="356">
        <v>2016</v>
      </c>
      <c r="B871" s="357" t="s">
        <v>476</v>
      </c>
      <c r="C871" s="357" t="s">
        <v>477</v>
      </c>
      <c r="D871" s="358">
        <v>1021011</v>
      </c>
      <c r="E871" s="358">
        <v>1</v>
      </c>
      <c r="F871" s="358"/>
      <c r="G871" s="358">
        <v>182</v>
      </c>
      <c r="H871" s="358" t="s">
        <v>59</v>
      </c>
      <c r="I871" s="358"/>
      <c r="J871" s="358" t="s">
        <v>60</v>
      </c>
      <c r="K871" s="359" t="b">
        <f t="shared" si="33"/>
        <v>0</v>
      </c>
      <c r="L871" s="359">
        <v>3</v>
      </c>
      <c r="M871" s="360">
        <v>2019</v>
      </c>
      <c r="N871" s="361">
        <v>0</v>
      </c>
      <c r="O871" s="362">
        <v>42642</v>
      </c>
      <c r="P871" s="362">
        <v>42642</v>
      </c>
    </row>
    <row r="872" spans="1:16" ht="14.25">
      <c r="A872" s="356">
        <v>2016</v>
      </c>
      <c r="B872" s="357" t="s">
        <v>476</v>
      </c>
      <c r="C872" s="357" t="s">
        <v>477</v>
      </c>
      <c r="D872" s="358">
        <v>1021011</v>
      </c>
      <c r="E872" s="358">
        <v>1</v>
      </c>
      <c r="F872" s="358"/>
      <c r="G872" s="358">
        <v>182</v>
      </c>
      <c r="H872" s="358" t="s">
        <v>59</v>
      </c>
      <c r="I872" s="358"/>
      <c r="J872" s="358" t="s">
        <v>60</v>
      </c>
      <c r="K872" s="359" t="b">
        <f t="shared" si="33"/>
        <v>0</v>
      </c>
      <c r="L872" s="359">
        <v>1</v>
      </c>
      <c r="M872" s="360">
        <v>2017</v>
      </c>
      <c r="N872" s="361">
        <v>0</v>
      </c>
      <c r="O872" s="362">
        <v>42642</v>
      </c>
      <c r="P872" s="362">
        <v>42642</v>
      </c>
    </row>
    <row r="873" spans="1:16" ht="14.25">
      <c r="A873" s="356">
        <v>2016</v>
      </c>
      <c r="B873" s="357" t="s">
        <v>476</v>
      </c>
      <c r="C873" s="357" t="s">
        <v>477</v>
      </c>
      <c r="D873" s="358">
        <v>1021011</v>
      </c>
      <c r="E873" s="358">
        <v>1</v>
      </c>
      <c r="F873" s="358"/>
      <c r="G873" s="358">
        <v>182</v>
      </c>
      <c r="H873" s="358" t="s">
        <v>59</v>
      </c>
      <c r="I873" s="358"/>
      <c r="J873" s="358" t="s">
        <v>60</v>
      </c>
      <c r="K873" s="359" t="b">
        <f t="shared" si="33"/>
        <v>0</v>
      </c>
      <c r="L873" s="359">
        <v>5</v>
      </c>
      <c r="M873" s="360">
        <v>2021</v>
      </c>
      <c r="N873" s="361">
        <v>0</v>
      </c>
      <c r="O873" s="362">
        <v>42642</v>
      </c>
      <c r="P873" s="362">
        <v>42642</v>
      </c>
    </row>
    <row r="874" spans="1:16" ht="14.25">
      <c r="A874" s="356">
        <v>2016</v>
      </c>
      <c r="B874" s="357" t="s">
        <v>476</v>
      </c>
      <c r="C874" s="357" t="s">
        <v>477</v>
      </c>
      <c r="D874" s="358">
        <v>1021011</v>
      </c>
      <c r="E874" s="358">
        <v>1</v>
      </c>
      <c r="F874" s="358"/>
      <c r="G874" s="358">
        <v>182</v>
      </c>
      <c r="H874" s="358" t="s">
        <v>59</v>
      </c>
      <c r="I874" s="358"/>
      <c r="J874" s="358" t="s">
        <v>60</v>
      </c>
      <c r="K874" s="359" t="b">
        <f t="shared" si="33"/>
        <v>0</v>
      </c>
      <c r="L874" s="359">
        <v>8</v>
      </c>
      <c r="M874" s="360">
        <v>2024</v>
      </c>
      <c r="N874" s="361">
        <v>0</v>
      </c>
      <c r="O874" s="362">
        <v>42642</v>
      </c>
      <c r="P874" s="362">
        <v>42642</v>
      </c>
    </row>
    <row r="875" spans="1:16" ht="14.25">
      <c r="A875" s="356">
        <v>2016</v>
      </c>
      <c r="B875" s="357" t="s">
        <v>476</v>
      </c>
      <c r="C875" s="357" t="s">
        <v>477</v>
      </c>
      <c r="D875" s="358">
        <v>1021011</v>
      </c>
      <c r="E875" s="358">
        <v>1</v>
      </c>
      <c r="F875" s="358"/>
      <c r="G875" s="358">
        <v>182</v>
      </c>
      <c r="H875" s="358" t="s">
        <v>59</v>
      </c>
      <c r="I875" s="358"/>
      <c r="J875" s="358" t="s">
        <v>60</v>
      </c>
      <c r="K875" s="359" t="b">
        <f t="shared" si="33"/>
        <v>0</v>
      </c>
      <c r="L875" s="359">
        <v>7</v>
      </c>
      <c r="M875" s="360">
        <v>2023</v>
      </c>
      <c r="N875" s="361">
        <v>0</v>
      </c>
      <c r="O875" s="362">
        <v>42642</v>
      </c>
      <c r="P875" s="362">
        <v>42642</v>
      </c>
    </row>
    <row r="876" spans="1:16" ht="14.25">
      <c r="A876" s="356">
        <v>2016</v>
      </c>
      <c r="B876" s="357" t="s">
        <v>476</v>
      </c>
      <c r="C876" s="357" t="s">
        <v>477</v>
      </c>
      <c r="D876" s="358">
        <v>1021011</v>
      </c>
      <c r="E876" s="358">
        <v>1</v>
      </c>
      <c r="F876" s="358"/>
      <c r="G876" s="358">
        <v>410</v>
      </c>
      <c r="H876" s="358">
        <v>8</v>
      </c>
      <c r="I876" s="358"/>
      <c r="J876" s="358" t="s">
        <v>108</v>
      </c>
      <c r="K876" s="359" t="b">
        <f>TRUE</f>
        <v>1</v>
      </c>
      <c r="L876" s="359">
        <v>8</v>
      </c>
      <c r="M876" s="360">
        <v>2024</v>
      </c>
      <c r="N876" s="361">
        <v>0</v>
      </c>
      <c r="O876" s="362">
        <v>42642</v>
      </c>
      <c r="P876" s="362">
        <v>42642</v>
      </c>
    </row>
    <row r="877" spans="1:16" ht="14.25">
      <c r="A877" s="356">
        <v>2016</v>
      </c>
      <c r="B877" s="357" t="s">
        <v>476</v>
      </c>
      <c r="C877" s="357" t="s">
        <v>477</v>
      </c>
      <c r="D877" s="358">
        <v>1021011</v>
      </c>
      <c r="E877" s="358">
        <v>1</v>
      </c>
      <c r="F877" s="358"/>
      <c r="G877" s="358">
        <v>182</v>
      </c>
      <c r="H877" s="358" t="s">
        <v>59</v>
      </c>
      <c r="I877" s="358"/>
      <c r="J877" s="358" t="s">
        <v>60</v>
      </c>
      <c r="K877" s="359" t="b">
        <f>FALSE</f>
        <v>0</v>
      </c>
      <c r="L877" s="359">
        <v>0</v>
      </c>
      <c r="M877" s="360">
        <v>2016</v>
      </c>
      <c r="N877" s="361">
        <v>0</v>
      </c>
      <c r="O877" s="362">
        <v>42642</v>
      </c>
      <c r="P877" s="362">
        <v>42642</v>
      </c>
    </row>
    <row r="878" spans="1:16" ht="14.25">
      <c r="A878" s="356">
        <v>2016</v>
      </c>
      <c r="B878" s="357" t="s">
        <v>476</v>
      </c>
      <c r="C878" s="357" t="s">
        <v>477</v>
      </c>
      <c r="D878" s="358">
        <v>1021011</v>
      </c>
      <c r="E878" s="358">
        <v>1</v>
      </c>
      <c r="F878" s="358"/>
      <c r="G878" s="358">
        <v>763</v>
      </c>
      <c r="H878" s="358">
        <v>12.5</v>
      </c>
      <c r="I878" s="358"/>
      <c r="J878" s="358" t="s">
        <v>209</v>
      </c>
      <c r="K878" s="359" t="b">
        <f aca="true" t="shared" si="34" ref="K878:K894">TRUE</f>
        <v>1</v>
      </c>
      <c r="L878" s="359">
        <v>5</v>
      </c>
      <c r="M878" s="360">
        <v>2021</v>
      </c>
      <c r="N878" s="361">
        <v>0</v>
      </c>
      <c r="O878" s="362">
        <v>42642</v>
      </c>
      <c r="P878" s="362">
        <v>42642</v>
      </c>
    </row>
    <row r="879" spans="1:16" ht="14.25">
      <c r="A879" s="356">
        <v>2016</v>
      </c>
      <c r="B879" s="357" t="s">
        <v>476</v>
      </c>
      <c r="C879" s="357" t="s">
        <v>477</v>
      </c>
      <c r="D879" s="358">
        <v>1021011</v>
      </c>
      <c r="E879" s="358">
        <v>1</v>
      </c>
      <c r="F879" s="358"/>
      <c r="G879" s="358">
        <v>763</v>
      </c>
      <c r="H879" s="358">
        <v>12.5</v>
      </c>
      <c r="I879" s="358"/>
      <c r="J879" s="358" t="s">
        <v>209</v>
      </c>
      <c r="K879" s="359" t="b">
        <f t="shared" si="34"/>
        <v>1</v>
      </c>
      <c r="L879" s="359">
        <v>7</v>
      </c>
      <c r="M879" s="360">
        <v>2023</v>
      </c>
      <c r="N879" s="361">
        <v>0</v>
      </c>
      <c r="O879" s="362">
        <v>42642</v>
      </c>
      <c r="P879" s="362">
        <v>42642</v>
      </c>
    </row>
    <row r="880" spans="1:16" ht="14.25">
      <c r="A880" s="356">
        <v>2016</v>
      </c>
      <c r="B880" s="357" t="s">
        <v>476</v>
      </c>
      <c r="C880" s="357" t="s">
        <v>477</v>
      </c>
      <c r="D880" s="358">
        <v>1021011</v>
      </c>
      <c r="E880" s="358">
        <v>1</v>
      </c>
      <c r="F880" s="358"/>
      <c r="G880" s="358">
        <v>763</v>
      </c>
      <c r="H880" s="358">
        <v>12.5</v>
      </c>
      <c r="I880" s="358"/>
      <c r="J880" s="358" t="s">
        <v>209</v>
      </c>
      <c r="K880" s="359" t="b">
        <f t="shared" si="34"/>
        <v>1</v>
      </c>
      <c r="L880" s="359">
        <v>2</v>
      </c>
      <c r="M880" s="360">
        <v>2018</v>
      </c>
      <c r="N880" s="361">
        <v>0</v>
      </c>
      <c r="O880" s="362">
        <v>42642</v>
      </c>
      <c r="P880" s="362">
        <v>42642</v>
      </c>
    </row>
    <row r="881" spans="1:16" ht="14.25">
      <c r="A881" s="356">
        <v>2016</v>
      </c>
      <c r="B881" s="357" t="s">
        <v>476</v>
      </c>
      <c r="C881" s="357" t="s">
        <v>477</v>
      </c>
      <c r="D881" s="358">
        <v>1021011</v>
      </c>
      <c r="E881" s="358">
        <v>1</v>
      </c>
      <c r="F881" s="358"/>
      <c r="G881" s="358">
        <v>763</v>
      </c>
      <c r="H881" s="358">
        <v>12.5</v>
      </c>
      <c r="I881" s="358"/>
      <c r="J881" s="358" t="s">
        <v>209</v>
      </c>
      <c r="K881" s="359" t="b">
        <f t="shared" si="34"/>
        <v>1</v>
      </c>
      <c r="L881" s="359">
        <v>3</v>
      </c>
      <c r="M881" s="360">
        <v>2019</v>
      </c>
      <c r="N881" s="361">
        <v>0</v>
      </c>
      <c r="O881" s="362">
        <v>42642</v>
      </c>
      <c r="P881" s="362">
        <v>42642</v>
      </c>
    </row>
    <row r="882" spans="1:16" ht="14.25">
      <c r="A882" s="356">
        <v>2016</v>
      </c>
      <c r="B882" s="357" t="s">
        <v>476</v>
      </c>
      <c r="C882" s="357" t="s">
        <v>477</v>
      </c>
      <c r="D882" s="358">
        <v>1021011</v>
      </c>
      <c r="E882" s="358">
        <v>1</v>
      </c>
      <c r="F882" s="358"/>
      <c r="G882" s="358">
        <v>763</v>
      </c>
      <c r="H882" s="358">
        <v>12.5</v>
      </c>
      <c r="I882" s="358"/>
      <c r="J882" s="358" t="s">
        <v>209</v>
      </c>
      <c r="K882" s="359" t="b">
        <f t="shared" si="34"/>
        <v>1</v>
      </c>
      <c r="L882" s="359">
        <v>6</v>
      </c>
      <c r="M882" s="360">
        <v>2022</v>
      </c>
      <c r="N882" s="361">
        <v>0</v>
      </c>
      <c r="O882" s="362">
        <v>42642</v>
      </c>
      <c r="P882" s="362">
        <v>42642</v>
      </c>
    </row>
    <row r="883" spans="1:16" ht="14.25">
      <c r="A883" s="356">
        <v>2016</v>
      </c>
      <c r="B883" s="357" t="s">
        <v>476</v>
      </c>
      <c r="C883" s="357" t="s">
        <v>477</v>
      </c>
      <c r="D883" s="358">
        <v>1021011</v>
      </c>
      <c r="E883" s="358">
        <v>1</v>
      </c>
      <c r="F883" s="358"/>
      <c r="G883" s="358">
        <v>763</v>
      </c>
      <c r="H883" s="358">
        <v>12.5</v>
      </c>
      <c r="I883" s="358"/>
      <c r="J883" s="358" t="s">
        <v>209</v>
      </c>
      <c r="K883" s="359" t="b">
        <f t="shared" si="34"/>
        <v>1</v>
      </c>
      <c r="L883" s="359">
        <v>0</v>
      </c>
      <c r="M883" s="360">
        <v>2016</v>
      </c>
      <c r="N883" s="361">
        <v>4478.99</v>
      </c>
      <c r="O883" s="362">
        <v>42642</v>
      </c>
      <c r="P883" s="362">
        <v>42642</v>
      </c>
    </row>
    <row r="884" spans="1:16" ht="14.25">
      <c r="A884" s="356">
        <v>2016</v>
      </c>
      <c r="B884" s="357" t="s">
        <v>476</v>
      </c>
      <c r="C884" s="357" t="s">
        <v>477</v>
      </c>
      <c r="D884" s="358">
        <v>1021011</v>
      </c>
      <c r="E884" s="358">
        <v>1</v>
      </c>
      <c r="F884" s="358"/>
      <c r="G884" s="358">
        <v>763</v>
      </c>
      <c r="H884" s="358">
        <v>12.5</v>
      </c>
      <c r="I884" s="358"/>
      <c r="J884" s="358" t="s">
        <v>209</v>
      </c>
      <c r="K884" s="359" t="b">
        <f t="shared" si="34"/>
        <v>1</v>
      </c>
      <c r="L884" s="359">
        <v>1</v>
      </c>
      <c r="M884" s="360">
        <v>2017</v>
      </c>
      <c r="N884" s="361">
        <v>0</v>
      </c>
      <c r="O884" s="362">
        <v>42642</v>
      </c>
      <c r="P884" s="362">
        <v>42642</v>
      </c>
    </row>
    <row r="885" spans="1:16" ht="14.25">
      <c r="A885" s="356">
        <v>2016</v>
      </c>
      <c r="B885" s="357" t="s">
        <v>476</v>
      </c>
      <c r="C885" s="357" t="s">
        <v>477</v>
      </c>
      <c r="D885" s="358">
        <v>1021011</v>
      </c>
      <c r="E885" s="358">
        <v>1</v>
      </c>
      <c r="F885" s="358"/>
      <c r="G885" s="358">
        <v>763</v>
      </c>
      <c r="H885" s="358">
        <v>12.5</v>
      </c>
      <c r="I885" s="358"/>
      <c r="J885" s="358" t="s">
        <v>209</v>
      </c>
      <c r="K885" s="359" t="b">
        <f t="shared" si="34"/>
        <v>1</v>
      </c>
      <c r="L885" s="359">
        <v>8</v>
      </c>
      <c r="M885" s="360">
        <v>2024</v>
      </c>
      <c r="N885" s="361">
        <v>0</v>
      </c>
      <c r="O885" s="362">
        <v>42642</v>
      </c>
      <c r="P885" s="362">
        <v>42642</v>
      </c>
    </row>
    <row r="886" spans="1:16" ht="14.25">
      <c r="A886" s="356">
        <v>2016</v>
      </c>
      <c r="B886" s="357" t="s">
        <v>476</v>
      </c>
      <c r="C886" s="357" t="s">
        <v>477</v>
      </c>
      <c r="D886" s="358">
        <v>1021011</v>
      </c>
      <c r="E886" s="358">
        <v>1</v>
      </c>
      <c r="F886" s="358"/>
      <c r="G886" s="358">
        <v>763</v>
      </c>
      <c r="H886" s="358">
        <v>12.5</v>
      </c>
      <c r="I886" s="358"/>
      <c r="J886" s="358" t="s">
        <v>209</v>
      </c>
      <c r="K886" s="359" t="b">
        <f t="shared" si="34"/>
        <v>1</v>
      </c>
      <c r="L886" s="359">
        <v>4</v>
      </c>
      <c r="M886" s="360">
        <v>2020</v>
      </c>
      <c r="N886" s="361">
        <v>0</v>
      </c>
      <c r="O886" s="362">
        <v>42642</v>
      </c>
      <c r="P886" s="362">
        <v>42642</v>
      </c>
    </row>
    <row r="887" spans="1:16" ht="14.25">
      <c r="A887" s="356">
        <v>2016</v>
      </c>
      <c r="B887" s="357" t="s">
        <v>476</v>
      </c>
      <c r="C887" s="357" t="s">
        <v>477</v>
      </c>
      <c r="D887" s="358">
        <v>1021011</v>
      </c>
      <c r="E887" s="358">
        <v>1</v>
      </c>
      <c r="F887" s="358"/>
      <c r="G887" s="358">
        <v>410</v>
      </c>
      <c r="H887" s="358">
        <v>8</v>
      </c>
      <c r="I887" s="358"/>
      <c r="J887" s="358" t="s">
        <v>108</v>
      </c>
      <c r="K887" s="359" t="b">
        <f t="shared" si="34"/>
        <v>1</v>
      </c>
      <c r="L887" s="359">
        <v>2</v>
      </c>
      <c r="M887" s="360">
        <v>2018</v>
      </c>
      <c r="N887" s="361">
        <v>0</v>
      </c>
      <c r="O887" s="362">
        <v>42642</v>
      </c>
      <c r="P887" s="362">
        <v>42642</v>
      </c>
    </row>
    <row r="888" spans="1:16" ht="14.25">
      <c r="A888" s="356">
        <v>2016</v>
      </c>
      <c r="B888" s="357" t="s">
        <v>476</v>
      </c>
      <c r="C888" s="357" t="s">
        <v>477</v>
      </c>
      <c r="D888" s="358">
        <v>1021011</v>
      </c>
      <c r="E888" s="358">
        <v>1</v>
      </c>
      <c r="F888" s="358"/>
      <c r="G888" s="358">
        <v>410</v>
      </c>
      <c r="H888" s="358">
        <v>8</v>
      </c>
      <c r="I888" s="358"/>
      <c r="J888" s="358" t="s">
        <v>108</v>
      </c>
      <c r="K888" s="359" t="b">
        <f t="shared" si="34"/>
        <v>1</v>
      </c>
      <c r="L888" s="359">
        <v>0</v>
      </c>
      <c r="M888" s="360">
        <v>2016</v>
      </c>
      <c r="N888" s="361">
        <v>0</v>
      </c>
      <c r="O888" s="362">
        <v>42642</v>
      </c>
      <c r="P888" s="362">
        <v>42642</v>
      </c>
    </row>
    <row r="889" spans="1:16" ht="14.25">
      <c r="A889" s="356">
        <v>2016</v>
      </c>
      <c r="B889" s="357" t="s">
        <v>476</v>
      </c>
      <c r="C889" s="357" t="s">
        <v>477</v>
      </c>
      <c r="D889" s="358">
        <v>1021011</v>
      </c>
      <c r="E889" s="358">
        <v>1</v>
      </c>
      <c r="F889" s="358"/>
      <c r="G889" s="358">
        <v>410</v>
      </c>
      <c r="H889" s="358">
        <v>8</v>
      </c>
      <c r="I889" s="358"/>
      <c r="J889" s="358" t="s">
        <v>108</v>
      </c>
      <c r="K889" s="359" t="b">
        <f t="shared" si="34"/>
        <v>1</v>
      </c>
      <c r="L889" s="359">
        <v>1</v>
      </c>
      <c r="M889" s="360">
        <v>2017</v>
      </c>
      <c r="N889" s="361">
        <v>0</v>
      </c>
      <c r="O889" s="362">
        <v>42642</v>
      </c>
      <c r="P889" s="362">
        <v>42642</v>
      </c>
    </row>
    <row r="890" spans="1:16" ht="14.25">
      <c r="A890" s="356">
        <v>2016</v>
      </c>
      <c r="B890" s="357" t="s">
        <v>476</v>
      </c>
      <c r="C890" s="357" t="s">
        <v>477</v>
      </c>
      <c r="D890" s="358">
        <v>1021011</v>
      </c>
      <c r="E890" s="358">
        <v>1</v>
      </c>
      <c r="F890" s="358"/>
      <c r="G890" s="358">
        <v>410</v>
      </c>
      <c r="H890" s="358">
        <v>8</v>
      </c>
      <c r="I890" s="358"/>
      <c r="J890" s="358" t="s">
        <v>108</v>
      </c>
      <c r="K890" s="359" t="b">
        <f t="shared" si="34"/>
        <v>1</v>
      </c>
      <c r="L890" s="359">
        <v>6</v>
      </c>
      <c r="M890" s="360">
        <v>2022</v>
      </c>
      <c r="N890" s="361">
        <v>0</v>
      </c>
      <c r="O890" s="362">
        <v>42642</v>
      </c>
      <c r="P890" s="362">
        <v>42642</v>
      </c>
    </row>
    <row r="891" spans="1:16" ht="14.25">
      <c r="A891" s="356">
        <v>2016</v>
      </c>
      <c r="B891" s="357" t="s">
        <v>476</v>
      </c>
      <c r="C891" s="357" t="s">
        <v>477</v>
      </c>
      <c r="D891" s="358">
        <v>1021011</v>
      </c>
      <c r="E891" s="358">
        <v>1</v>
      </c>
      <c r="F891" s="358"/>
      <c r="G891" s="358">
        <v>410</v>
      </c>
      <c r="H891" s="358">
        <v>8</v>
      </c>
      <c r="I891" s="358"/>
      <c r="J891" s="358" t="s">
        <v>108</v>
      </c>
      <c r="K891" s="359" t="b">
        <f t="shared" si="34"/>
        <v>1</v>
      </c>
      <c r="L891" s="359">
        <v>5</v>
      </c>
      <c r="M891" s="360">
        <v>2021</v>
      </c>
      <c r="N891" s="361">
        <v>0</v>
      </c>
      <c r="O891" s="362">
        <v>42642</v>
      </c>
      <c r="P891" s="362">
        <v>42642</v>
      </c>
    </row>
    <row r="892" spans="1:16" ht="14.25">
      <c r="A892" s="356">
        <v>2016</v>
      </c>
      <c r="B892" s="357" t="s">
        <v>476</v>
      </c>
      <c r="C892" s="357" t="s">
        <v>477</v>
      </c>
      <c r="D892" s="358">
        <v>1021011</v>
      </c>
      <c r="E892" s="358">
        <v>1</v>
      </c>
      <c r="F892" s="358"/>
      <c r="G892" s="358">
        <v>410</v>
      </c>
      <c r="H892" s="358">
        <v>8</v>
      </c>
      <c r="I892" s="358"/>
      <c r="J892" s="358" t="s">
        <v>108</v>
      </c>
      <c r="K892" s="359" t="b">
        <f t="shared" si="34"/>
        <v>1</v>
      </c>
      <c r="L892" s="359">
        <v>7</v>
      </c>
      <c r="M892" s="360">
        <v>2023</v>
      </c>
      <c r="N892" s="361">
        <v>0</v>
      </c>
      <c r="O892" s="362">
        <v>42642</v>
      </c>
      <c r="P892" s="362">
        <v>42642</v>
      </c>
    </row>
    <row r="893" spans="1:16" ht="14.25">
      <c r="A893" s="356">
        <v>2016</v>
      </c>
      <c r="B893" s="357" t="s">
        <v>476</v>
      </c>
      <c r="C893" s="357" t="s">
        <v>477</v>
      </c>
      <c r="D893" s="358">
        <v>1021011</v>
      </c>
      <c r="E893" s="358">
        <v>1</v>
      </c>
      <c r="F893" s="358"/>
      <c r="G893" s="358">
        <v>410</v>
      </c>
      <c r="H893" s="358">
        <v>8</v>
      </c>
      <c r="I893" s="358"/>
      <c r="J893" s="358" t="s">
        <v>108</v>
      </c>
      <c r="K893" s="359" t="b">
        <f t="shared" si="34"/>
        <v>1</v>
      </c>
      <c r="L893" s="359">
        <v>3</v>
      </c>
      <c r="M893" s="360">
        <v>2019</v>
      </c>
      <c r="N893" s="361">
        <v>0</v>
      </c>
      <c r="O893" s="362">
        <v>42642</v>
      </c>
      <c r="P893" s="362">
        <v>42642</v>
      </c>
    </row>
    <row r="894" spans="1:16" ht="14.25">
      <c r="A894" s="356">
        <v>2016</v>
      </c>
      <c r="B894" s="357" t="s">
        <v>476</v>
      </c>
      <c r="C894" s="357" t="s">
        <v>477</v>
      </c>
      <c r="D894" s="358">
        <v>1021011</v>
      </c>
      <c r="E894" s="358">
        <v>1</v>
      </c>
      <c r="F894" s="358"/>
      <c r="G894" s="358">
        <v>410</v>
      </c>
      <c r="H894" s="358">
        <v>8</v>
      </c>
      <c r="I894" s="358"/>
      <c r="J894" s="358" t="s">
        <v>108</v>
      </c>
      <c r="K894" s="359" t="b">
        <f t="shared" si="34"/>
        <v>1</v>
      </c>
      <c r="L894" s="359">
        <v>4</v>
      </c>
      <c r="M894" s="360">
        <v>2020</v>
      </c>
      <c r="N894" s="361">
        <v>0</v>
      </c>
      <c r="O894" s="362">
        <v>42642</v>
      </c>
      <c r="P894" s="362">
        <v>42642</v>
      </c>
    </row>
    <row r="895" spans="1:16" ht="14.25">
      <c r="A895" s="356">
        <v>2016</v>
      </c>
      <c r="B895" s="357" t="s">
        <v>476</v>
      </c>
      <c r="C895" s="357" t="s">
        <v>477</v>
      </c>
      <c r="D895" s="358">
        <v>1021011</v>
      </c>
      <c r="E895" s="358">
        <v>1</v>
      </c>
      <c r="F895" s="358"/>
      <c r="G895" s="358">
        <v>540</v>
      </c>
      <c r="H895" s="358" t="s">
        <v>140</v>
      </c>
      <c r="I895" s="358" t="s">
        <v>485</v>
      </c>
      <c r="J895" s="358" t="s">
        <v>141</v>
      </c>
      <c r="K895" s="359" t="b">
        <f aca="true" t="shared" si="35" ref="K895:K912">FALSE</f>
        <v>0</v>
      </c>
      <c r="L895" s="359">
        <v>7</v>
      </c>
      <c r="M895" s="360">
        <v>2023</v>
      </c>
      <c r="N895" s="361">
        <v>557</v>
      </c>
      <c r="O895" s="362">
        <v>42642</v>
      </c>
      <c r="P895" s="362">
        <v>42642</v>
      </c>
    </row>
    <row r="896" spans="1:16" ht="14.25">
      <c r="A896" s="356">
        <v>2016</v>
      </c>
      <c r="B896" s="357" t="s">
        <v>476</v>
      </c>
      <c r="C896" s="357" t="s">
        <v>477</v>
      </c>
      <c r="D896" s="358">
        <v>1021011</v>
      </c>
      <c r="E896" s="358">
        <v>1</v>
      </c>
      <c r="F896" s="358"/>
      <c r="G896" s="358">
        <v>540</v>
      </c>
      <c r="H896" s="358" t="s">
        <v>140</v>
      </c>
      <c r="I896" s="358" t="s">
        <v>485</v>
      </c>
      <c r="J896" s="358" t="s">
        <v>141</v>
      </c>
      <c r="K896" s="359" t="b">
        <f t="shared" si="35"/>
        <v>0</v>
      </c>
      <c r="L896" s="359">
        <v>3</v>
      </c>
      <c r="M896" s="360">
        <v>2019</v>
      </c>
      <c r="N896" s="361">
        <v>43</v>
      </c>
      <c r="O896" s="362">
        <v>42642</v>
      </c>
      <c r="P896" s="362">
        <v>42642</v>
      </c>
    </row>
    <row r="897" spans="1:16" ht="14.25">
      <c r="A897" s="356">
        <v>2016</v>
      </c>
      <c r="B897" s="357" t="s">
        <v>476</v>
      </c>
      <c r="C897" s="357" t="s">
        <v>477</v>
      </c>
      <c r="D897" s="358">
        <v>1021011</v>
      </c>
      <c r="E897" s="358">
        <v>1</v>
      </c>
      <c r="F897" s="358"/>
      <c r="G897" s="358">
        <v>540</v>
      </c>
      <c r="H897" s="358" t="s">
        <v>140</v>
      </c>
      <c r="I897" s="358" t="s">
        <v>485</v>
      </c>
      <c r="J897" s="358" t="s">
        <v>141</v>
      </c>
      <c r="K897" s="359" t="b">
        <f t="shared" si="35"/>
        <v>0</v>
      </c>
      <c r="L897" s="359">
        <v>0</v>
      </c>
      <c r="M897" s="360">
        <v>2016</v>
      </c>
      <c r="N897" s="361">
        <v>290</v>
      </c>
      <c r="O897" s="362">
        <v>42642</v>
      </c>
      <c r="P897" s="362">
        <v>42642</v>
      </c>
    </row>
    <row r="898" spans="1:16" ht="14.25">
      <c r="A898" s="356">
        <v>2016</v>
      </c>
      <c r="B898" s="357" t="s">
        <v>476</v>
      </c>
      <c r="C898" s="357" t="s">
        <v>477</v>
      </c>
      <c r="D898" s="358">
        <v>1021011</v>
      </c>
      <c r="E898" s="358">
        <v>1</v>
      </c>
      <c r="F898" s="358"/>
      <c r="G898" s="358">
        <v>540</v>
      </c>
      <c r="H898" s="358" t="s">
        <v>140</v>
      </c>
      <c r="I898" s="358" t="s">
        <v>485</v>
      </c>
      <c r="J898" s="358" t="s">
        <v>141</v>
      </c>
      <c r="K898" s="359" t="b">
        <f t="shared" si="35"/>
        <v>0</v>
      </c>
      <c r="L898" s="359">
        <v>5</v>
      </c>
      <c r="M898" s="360">
        <v>2021</v>
      </c>
      <c r="N898" s="361">
        <v>347</v>
      </c>
      <c r="O898" s="362">
        <v>42642</v>
      </c>
      <c r="P898" s="362">
        <v>42642</v>
      </c>
    </row>
    <row r="899" spans="1:16" ht="14.25">
      <c r="A899" s="356">
        <v>2016</v>
      </c>
      <c r="B899" s="357" t="s">
        <v>476</v>
      </c>
      <c r="C899" s="357" t="s">
        <v>477</v>
      </c>
      <c r="D899" s="358">
        <v>1021011</v>
      </c>
      <c r="E899" s="358">
        <v>1</v>
      </c>
      <c r="F899" s="358"/>
      <c r="G899" s="358">
        <v>540</v>
      </c>
      <c r="H899" s="358" t="s">
        <v>140</v>
      </c>
      <c r="I899" s="358" t="s">
        <v>485</v>
      </c>
      <c r="J899" s="358" t="s">
        <v>141</v>
      </c>
      <c r="K899" s="359" t="b">
        <f t="shared" si="35"/>
        <v>0</v>
      </c>
      <c r="L899" s="359">
        <v>6</v>
      </c>
      <c r="M899" s="360">
        <v>2022</v>
      </c>
      <c r="N899" s="361">
        <v>471</v>
      </c>
      <c r="O899" s="362">
        <v>42642</v>
      </c>
      <c r="P899" s="362">
        <v>42642</v>
      </c>
    </row>
    <row r="900" spans="1:16" ht="14.25">
      <c r="A900" s="356">
        <v>2016</v>
      </c>
      <c r="B900" s="357" t="s">
        <v>476</v>
      </c>
      <c r="C900" s="357" t="s">
        <v>477</v>
      </c>
      <c r="D900" s="358">
        <v>1021011</v>
      </c>
      <c r="E900" s="358">
        <v>1</v>
      </c>
      <c r="F900" s="358"/>
      <c r="G900" s="358">
        <v>540</v>
      </c>
      <c r="H900" s="358" t="s">
        <v>140</v>
      </c>
      <c r="I900" s="358" t="s">
        <v>485</v>
      </c>
      <c r="J900" s="358" t="s">
        <v>141</v>
      </c>
      <c r="K900" s="359" t="b">
        <f t="shared" si="35"/>
        <v>0</v>
      </c>
      <c r="L900" s="359">
        <v>1</v>
      </c>
      <c r="M900" s="360">
        <v>2017</v>
      </c>
      <c r="N900" s="361">
        <v>74</v>
      </c>
      <c r="O900" s="362">
        <v>42642</v>
      </c>
      <c r="P900" s="362">
        <v>42642</v>
      </c>
    </row>
    <row r="901" spans="1:16" ht="14.25">
      <c r="A901" s="356">
        <v>2016</v>
      </c>
      <c r="B901" s="357" t="s">
        <v>476</v>
      </c>
      <c r="C901" s="357" t="s">
        <v>477</v>
      </c>
      <c r="D901" s="358">
        <v>1021011</v>
      </c>
      <c r="E901" s="358">
        <v>1</v>
      </c>
      <c r="F901" s="358"/>
      <c r="G901" s="358">
        <v>540</v>
      </c>
      <c r="H901" s="358" t="s">
        <v>140</v>
      </c>
      <c r="I901" s="358" t="s">
        <v>485</v>
      </c>
      <c r="J901" s="358" t="s">
        <v>141</v>
      </c>
      <c r="K901" s="359" t="b">
        <f t="shared" si="35"/>
        <v>0</v>
      </c>
      <c r="L901" s="359">
        <v>8</v>
      </c>
      <c r="M901" s="360">
        <v>2024</v>
      </c>
      <c r="N901" s="361">
        <v>759</v>
      </c>
      <c r="O901" s="362">
        <v>42642</v>
      </c>
      <c r="P901" s="362">
        <v>42642</v>
      </c>
    </row>
    <row r="902" spans="1:16" ht="14.25">
      <c r="A902" s="356">
        <v>2016</v>
      </c>
      <c r="B902" s="357" t="s">
        <v>476</v>
      </c>
      <c r="C902" s="357" t="s">
        <v>477</v>
      </c>
      <c r="D902" s="358">
        <v>1021011</v>
      </c>
      <c r="E902" s="358">
        <v>1</v>
      </c>
      <c r="F902" s="358"/>
      <c r="G902" s="358">
        <v>540</v>
      </c>
      <c r="H902" s="358" t="s">
        <v>140</v>
      </c>
      <c r="I902" s="358" t="s">
        <v>485</v>
      </c>
      <c r="J902" s="358" t="s">
        <v>141</v>
      </c>
      <c r="K902" s="359" t="b">
        <f t="shared" si="35"/>
        <v>0</v>
      </c>
      <c r="L902" s="359">
        <v>4</v>
      </c>
      <c r="M902" s="360">
        <v>2020</v>
      </c>
      <c r="N902" s="361">
        <v>209</v>
      </c>
      <c r="O902" s="362">
        <v>42642</v>
      </c>
      <c r="P902" s="362">
        <v>42642</v>
      </c>
    </row>
    <row r="903" spans="1:16" ht="14.25">
      <c r="A903" s="356">
        <v>2016</v>
      </c>
      <c r="B903" s="357" t="s">
        <v>476</v>
      </c>
      <c r="C903" s="357" t="s">
        <v>477</v>
      </c>
      <c r="D903" s="358">
        <v>1021011</v>
      </c>
      <c r="E903" s="358">
        <v>1</v>
      </c>
      <c r="F903" s="358"/>
      <c r="G903" s="358">
        <v>540</v>
      </c>
      <c r="H903" s="358" t="s">
        <v>140</v>
      </c>
      <c r="I903" s="358" t="s">
        <v>485</v>
      </c>
      <c r="J903" s="358" t="s">
        <v>141</v>
      </c>
      <c r="K903" s="359" t="b">
        <f t="shared" si="35"/>
        <v>0</v>
      </c>
      <c r="L903" s="359">
        <v>2</v>
      </c>
      <c r="M903" s="360">
        <v>2018</v>
      </c>
      <c r="N903" s="361">
        <v>16</v>
      </c>
      <c r="O903" s="362">
        <v>42642</v>
      </c>
      <c r="P903" s="362">
        <v>42642</v>
      </c>
    </row>
    <row r="904" spans="1:16" ht="14.25">
      <c r="A904" s="356">
        <v>2016</v>
      </c>
      <c r="B904" s="357" t="s">
        <v>476</v>
      </c>
      <c r="C904" s="357" t="s">
        <v>477</v>
      </c>
      <c r="D904" s="358">
        <v>1021011</v>
      </c>
      <c r="E904" s="358">
        <v>1</v>
      </c>
      <c r="F904" s="358"/>
      <c r="G904" s="358">
        <v>184</v>
      </c>
      <c r="H904" s="358" t="s">
        <v>62</v>
      </c>
      <c r="I904" s="358"/>
      <c r="J904" s="358" t="s">
        <v>63</v>
      </c>
      <c r="K904" s="359" t="b">
        <f t="shared" si="35"/>
        <v>0</v>
      </c>
      <c r="L904" s="359">
        <v>2</v>
      </c>
      <c r="M904" s="360">
        <v>2018</v>
      </c>
      <c r="N904" s="361">
        <v>0</v>
      </c>
      <c r="O904" s="362">
        <v>42642</v>
      </c>
      <c r="P904" s="362">
        <v>42642</v>
      </c>
    </row>
    <row r="905" spans="1:16" ht="14.25">
      <c r="A905" s="356">
        <v>2016</v>
      </c>
      <c r="B905" s="357" t="s">
        <v>476</v>
      </c>
      <c r="C905" s="357" t="s">
        <v>477</v>
      </c>
      <c r="D905" s="358">
        <v>1021011</v>
      </c>
      <c r="E905" s="358">
        <v>1</v>
      </c>
      <c r="F905" s="358"/>
      <c r="G905" s="358">
        <v>184</v>
      </c>
      <c r="H905" s="358" t="s">
        <v>62</v>
      </c>
      <c r="I905" s="358"/>
      <c r="J905" s="358" t="s">
        <v>63</v>
      </c>
      <c r="K905" s="359" t="b">
        <f t="shared" si="35"/>
        <v>0</v>
      </c>
      <c r="L905" s="359">
        <v>6</v>
      </c>
      <c r="M905" s="360">
        <v>2022</v>
      </c>
      <c r="N905" s="361">
        <v>0</v>
      </c>
      <c r="O905" s="362">
        <v>42642</v>
      </c>
      <c r="P905" s="362">
        <v>42642</v>
      </c>
    </row>
    <row r="906" spans="1:16" ht="14.25">
      <c r="A906" s="356">
        <v>2016</v>
      </c>
      <c r="B906" s="357" t="s">
        <v>476</v>
      </c>
      <c r="C906" s="357" t="s">
        <v>477</v>
      </c>
      <c r="D906" s="358">
        <v>1021011</v>
      </c>
      <c r="E906" s="358">
        <v>1</v>
      </c>
      <c r="F906" s="358"/>
      <c r="G906" s="358">
        <v>184</v>
      </c>
      <c r="H906" s="358" t="s">
        <v>62</v>
      </c>
      <c r="I906" s="358"/>
      <c r="J906" s="358" t="s">
        <v>63</v>
      </c>
      <c r="K906" s="359" t="b">
        <f t="shared" si="35"/>
        <v>0</v>
      </c>
      <c r="L906" s="359">
        <v>1</v>
      </c>
      <c r="M906" s="360">
        <v>2017</v>
      </c>
      <c r="N906" s="361">
        <v>0</v>
      </c>
      <c r="O906" s="362">
        <v>42642</v>
      </c>
      <c r="P906" s="362">
        <v>42642</v>
      </c>
    </row>
    <row r="907" spans="1:16" ht="14.25">
      <c r="A907" s="356">
        <v>2016</v>
      </c>
      <c r="B907" s="357" t="s">
        <v>476</v>
      </c>
      <c r="C907" s="357" t="s">
        <v>477</v>
      </c>
      <c r="D907" s="358">
        <v>1021011</v>
      </c>
      <c r="E907" s="358">
        <v>1</v>
      </c>
      <c r="F907" s="358"/>
      <c r="G907" s="358">
        <v>184</v>
      </c>
      <c r="H907" s="358" t="s">
        <v>62</v>
      </c>
      <c r="I907" s="358"/>
      <c r="J907" s="358" t="s">
        <v>63</v>
      </c>
      <c r="K907" s="359" t="b">
        <f t="shared" si="35"/>
        <v>0</v>
      </c>
      <c r="L907" s="359">
        <v>4</v>
      </c>
      <c r="M907" s="360">
        <v>2020</v>
      </c>
      <c r="N907" s="361">
        <v>0</v>
      </c>
      <c r="O907" s="362">
        <v>42642</v>
      </c>
      <c r="P907" s="362">
        <v>42642</v>
      </c>
    </row>
    <row r="908" spans="1:16" ht="14.25">
      <c r="A908" s="356">
        <v>2016</v>
      </c>
      <c r="B908" s="357" t="s">
        <v>476</v>
      </c>
      <c r="C908" s="357" t="s">
        <v>477</v>
      </c>
      <c r="D908" s="358">
        <v>1021011</v>
      </c>
      <c r="E908" s="358">
        <v>1</v>
      </c>
      <c r="F908" s="358"/>
      <c r="G908" s="358">
        <v>184</v>
      </c>
      <c r="H908" s="358" t="s">
        <v>62</v>
      </c>
      <c r="I908" s="358"/>
      <c r="J908" s="358" t="s">
        <v>63</v>
      </c>
      <c r="K908" s="359" t="b">
        <f t="shared" si="35"/>
        <v>0</v>
      </c>
      <c r="L908" s="359">
        <v>8</v>
      </c>
      <c r="M908" s="360">
        <v>2024</v>
      </c>
      <c r="N908" s="361">
        <v>0</v>
      </c>
      <c r="O908" s="362">
        <v>42642</v>
      </c>
      <c r="P908" s="362">
        <v>42642</v>
      </c>
    </row>
    <row r="909" spans="1:16" ht="14.25">
      <c r="A909" s="356">
        <v>2016</v>
      </c>
      <c r="B909" s="357" t="s">
        <v>476</v>
      </c>
      <c r="C909" s="357" t="s">
        <v>477</v>
      </c>
      <c r="D909" s="358">
        <v>1021011</v>
      </c>
      <c r="E909" s="358">
        <v>1</v>
      </c>
      <c r="F909" s="358"/>
      <c r="G909" s="358">
        <v>184</v>
      </c>
      <c r="H909" s="358" t="s">
        <v>62</v>
      </c>
      <c r="I909" s="358"/>
      <c r="J909" s="358" t="s">
        <v>63</v>
      </c>
      <c r="K909" s="359" t="b">
        <f t="shared" si="35"/>
        <v>0</v>
      </c>
      <c r="L909" s="359">
        <v>3</v>
      </c>
      <c r="M909" s="360">
        <v>2019</v>
      </c>
      <c r="N909" s="361">
        <v>0</v>
      </c>
      <c r="O909" s="362">
        <v>42642</v>
      </c>
      <c r="P909" s="362">
        <v>42642</v>
      </c>
    </row>
    <row r="910" spans="1:16" ht="14.25">
      <c r="A910" s="356">
        <v>2016</v>
      </c>
      <c r="B910" s="357" t="s">
        <v>476</v>
      </c>
      <c r="C910" s="357" t="s">
        <v>477</v>
      </c>
      <c r="D910" s="358">
        <v>1021011</v>
      </c>
      <c r="E910" s="358">
        <v>1</v>
      </c>
      <c r="F910" s="358"/>
      <c r="G910" s="358">
        <v>184</v>
      </c>
      <c r="H910" s="358" t="s">
        <v>62</v>
      </c>
      <c r="I910" s="358"/>
      <c r="J910" s="358" t="s">
        <v>63</v>
      </c>
      <c r="K910" s="359" t="b">
        <f t="shared" si="35"/>
        <v>0</v>
      </c>
      <c r="L910" s="359">
        <v>7</v>
      </c>
      <c r="M910" s="360">
        <v>2023</v>
      </c>
      <c r="N910" s="361">
        <v>0</v>
      </c>
      <c r="O910" s="362">
        <v>42642</v>
      </c>
      <c r="P910" s="362">
        <v>42642</v>
      </c>
    </row>
    <row r="911" spans="1:16" ht="14.25">
      <c r="A911" s="356">
        <v>2016</v>
      </c>
      <c r="B911" s="357" t="s">
        <v>476</v>
      </c>
      <c r="C911" s="357" t="s">
        <v>477</v>
      </c>
      <c r="D911" s="358">
        <v>1021011</v>
      </c>
      <c r="E911" s="358">
        <v>1</v>
      </c>
      <c r="F911" s="358"/>
      <c r="G911" s="358">
        <v>184</v>
      </c>
      <c r="H911" s="358" t="s">
        <v>62</v>
      </c>
      <c r="I911" s="358"/>
      <c r="J911" s="358" t="s">
        <v>63</v>
      </c>
      <c r="K911" s="359" t="b">
        <f t="shared" si="35"/>
        <v>0</v>
      </c>
      <c r="L911" s="359">
        <v>5</v>
      </c>
      <c r="M911" s="360">
        <v>2021</v>
      </c>
      <c r="N911" s="361">
        <v>0</v>
      </c>
      <c r="O911" s="362">
        <v>42642</v>
      </c>
      <c r="P911" s="362">
        <v>42642</v>
      </c>
    </row>
    <row r="912" spans="1:16" ht="14.25">
      <c r="A912" s="356">
        <v>2016</v>
      </c>
      <c r="B912" s="357" t="s">
        <v>476</v>
      </c>
      <c r="C912" s="357" t="s">
        <v>477</v>
      </c>
      <c r="D912" s="358">
        <v>1021011</v>
      </c>
      <c r="E912" s="358">
        <v>1</v>
      </c>
      <c r="F912" s="358"/>
      <c r="G912" s="358">
        <v>184</v>
      </c>
      <c r="H912" s="358" t="s">
        <v>62</v>
      </c>
      <c r="I912" s="358"/>
      <c r="J912" s="358" t="s">
        <v>63</v>
      </c>
      <c r="K912" s="359" t="b">
        <f t="shared" si="35"/>
        <v>0</v>
      </c>
      <c r="L912" s="359">
        <v>0</v>
      </c>
      <c r="M912" s="360">
        <v>2016</v>
      </c>
      <c r="N912" s="361">
        <v>0</v>
      </c>
      <c r="O912" s="362">
        <v>42642</v>
      </c>
      <c r="P912" s="362">
        <v>42642</v>
      </c>
    </row>
    <row r="913" spans="1:16" ht="14.25">
      <c r="A913" s="356">
        <v>2016</v>
      </c>
      <c r="B913" s="357" t="s">
        <v>476</v>
      </c>
      <c r="C913" s="357" t="s">
        <v>477</v>
      </c>
      <c r="D913" s="358">
        <v>1021011</v>
      </c>
      <c r="E913" s="358">
        <v>1</v>
      </c>
      <c r="F913" s="358"/>
      <c r="G913" s="358">
        <v>590</v>
      </c>
      <c r="H913" s="358">
        <v>11.2</v>
      </c>
      <c r="I913" s="358"/>
      <c r="J913" s="358" t="s">
        <v>152</v>
      </c>
      <c r="K913" s="359" t="b">
        <f aca="true" t="shared" si="36" ref="K913:K921">TRUE</f>
        <v>1</v>
      </c>
      <c r="L913" s="359">
        <v>7</v>
      </c>
      <c r="M913" s="360">
        <v>2023</v>
      </c>
      <c r="N913" s="361">
        <v>0</v>
      </c>
      <c r="O913" s="362">
        <v>42642</v>
      </c>
      <c r="P913" s="362">
        <v>42642</v>
      </c>
    </row>
    <row r="914" spans="1:16" ht="14.25">
      <c r="A914" s="356">
        <v>2016</v>
      </c>
      <c r="B914" s="357" t="s">
        <v>476</v>
      </c>
      <c r="C914" s="357" t="s">
        <v>477</v>
      </c>
      <c r="D914" s="358">
        <v>1021011</v>
      </c>
      <c r="E914" s="358">
        <v>1</v>
      </c>
      <c r="F914" s="358"/>
      <c r="G914" s="358">
        <v>590</v>
      </c>
      <c r="H914" s="358">
        <v>11.2</v>
      </c>
      <c r="I914" s="358"/>
      <c r="J914" s="358" t="s">
        <v>152</v>
      </c>
      <c r="K914" s="359" t="b">
        <f t="shared" si="36"/>
        <v>1</v>
      </c>
      <c r="L914" s="359">
        <v>8</v>
      </c>
      <c r="M914" s="360">
        <v>2024</v>
      </c>
      <c r="N914" s="361">
        <v>0</v>
      </c>
      <c r="O914" s="362">
        <v>42642</v>
      </c>
      <c r="P914" s="362">
        <v>42642</v>
      </c>
    </row>
    <row r="915" spans="1:16" ht="14.25">
      <c r="A915" s="356">
        <v>2016</v>
      </c>
      <c r="B915" s="357" t="s">
        <v>476</v>
      </c>
      <c r="C915" s="357" t="s">
        <v>477</v>
      </c>
      <c r="D915" s="358">
        <v>1021011</v>
      </c>
      <c r="E915" s="358">
        <v>1</v>
      </c>
      <c r="F915" s="358"/>
      <c r="G915" s="358">
        <v>590</v>
      </c>
      <c r="H915" s="358">
        <v>11.2</v>
      </c>
      <c r="I915" s="358"/>
      <c r="J915" s="358" t="s">
        <v>152</v>
      </c>
      <c r="K915" s="359" t="b">
        <f t="shared" si="36"/>
        <v>1</v>
      </c>
      <c r="L915" s="359">
        <v>5</v>
      </c>
      <c r="M915" s="360">
        <v>2021</v>
      </c>
      <c r="N915" s="361">
        <v>0</v>
      </c>
      <c r="O915" s="362">
        <v>42642</v>
      </c>
      <c r="P915" s="362">
        <v>42642</v>
      </c>
    </row>
    <row r="916" spans="1:16" ht="14.25">
      <c r="A916" s="356">
        <v>2016</v>
      </c>
      <c r="B916" s="357" t="s">
        <v>476</v>
      </c>
      <c r="C916" s="357" t="s">
        <v>477</v>
      </c>
      <c r="D916" s="358">
        <v>1021011</v>
      </c>
      <c r="E916" s="358">
        <v>1</v>
      </c>
      <c r="F916" s="358"/>
      <c r="G916" s="358">
        <v>590</v>
      </c>
      <c r="H916" s="358">
        <v>11.2</v>
      </c>
      <c r="I916" s="358"/>
      <c r="J916" s="358" t="s">
        <v>152</v>
      </c>
      <c r="K916" s="359" t="b">
        <f t="shared" si="36"/>
        <v>1</v>
      </c>
      <c r="L916" s="359">
        <v>4</v>
      </c>
      <c r="M916" s="360">
        <v>2020</v>
      </c>
      <c r="N916" s="361">
        <v>0</v>
      </c>
      <c r="O916" s="362">
        <v>42642</v>
      </c>
      <c r="P916" s="362">
        <v>42642</v>
      </c>
    </row>
    <row r="917" spans="1:16" ht="14.25">
      <c r="A917" s="356">
        <v>2016</v>
      </c>
      <c r="B917" s="357" t="s">
        <v>476</v>
      </c>
      <c r="C917" s="357" t="s">
        <v>477</v>
      </c>
      <c r="D917" s="358">
        <v>1021011</v>
      </c>
      <c r="E917" s="358">
        <v>1</v>
      </c>
      <c r="F917" s="358"/>
      <c r="G917" s="358">
        <v>590</v>
      </c>
      <c r="H917" s="358">
        <v>11.2</v>
      </c>
      <c r="I917" s="358"/>
      <c r="J917" s="358" t="s">
        <v>152</v>
      </c>
      <c r="K917" s="359" t="b">
        <f t="shared" si="36"/>
        <v>1</v>
      </c>
      <c r="L917" s="359">
        <v>2</v>
      </c>
      <c r="M917" s="360">
        <v>2018</v>
      </c>
      <c r="N917" s="361">
        <v>3500000</v>
      </c>
      <c r="O917" s="362">
        <v>42642</v>
      </c>
      <c r="P917" s="362">
        <v>42642</v>
      </c>
    </row>
    <row r="918" spans="1:16" ht="14.25">
      <c r="A918" s="356">
        <v>2016</v>
      </c>
      <c r="B918" s="357" t="s">
        <v>476</v>
      </c>
      <c r="C918" s="357" t="s">
        <v>477</v>
      </c>
      <c r="D918" s="358">
        <v>1021011</v>
      </c>
      <c r="E918" s="358">
        <v>1</v>
      </c>
      <c r="F918" s="358"/>
      <c r="G918" s="358">
        <v>590</v>
      </c>
      <c r="H918" s="358">
        <v>11.2</v>
      </c>
      <c r="I918" s="358"/>
      <c r="J918" s="358" t="s">
        <v>152</v>
      </c>
      <c r="K918" s="359" t="b">
        <f t="shared" si="36"/>
        <v>1</v>
      </c>
      <c r="L918" s="359">
        <v>0</v>
      </c>
      <c r="M918" s="360">
        <v>2016</v>
      </c>
      <c r="N918" s="361">
        <v>3721811</v>
      </c>
      <c r="O918" s="362">
        <v>42642</v>
      </c>
      <c r="P918" s="362">
        <v>42642</v>
      </c>
    </row>
    <row r="919" spans="1:16" ht="14.25">
      <c r="A919" s="356">
        <v>2016</v>
      </c>
      <c r="B919" s="357" t="s">
        <v>476</v>
      </c>
      <c r="C919" s="357" t="s">
        <v>477</v>
      </c>
      <c r="D919" s="358">
        <v>1021011</v>
      </c>
      <c r="E919" s="358">
        <v>1</v>
      </c>
      <c r="F919" s="358"/>
      <c r="G919" s="358">
        <v>590</v>
      </c>
      <c r="H919" s="358">
        <v>11.2</v>
      </c>
      <c r="I919" s="358"/>
      <c r="J919" s="358" t="s">
        <v>152</v>
      </c>
      <c r="K919" s="359" t="b">
        <f t="shared" si="36"/>
        <v>1</v>
      </c>
      <c r="L919" s="359">
        <v>1</v>
      </c>
      <c r="M919" s="360">
        <v>2017</v>
      </c>
      <c r="N919" s="361">
        <v>3450000</v>
      </c>
      <c r="O919" s="362">
        <v>42642</v>
      </c>
      <c r="P919" s="362">
        <v>42642</v>
      </c>
    </row>
    <row r="920" spans="1:16" ht="14.25">
      <c r="A920" s="356">
        <v>2016</v>
      </c>
      <c r="B920" s="357" t="s">
        <v>476</v>
      </c>
      <c r="C920" s="357" t="s">
        <v>477</v>
      </c>
      <c r="D920" s="358">
        <v>1021011</v>
      </c>
      <c r="E920" s="358">
        <v>1</v>
      </c>
      <c r="F920" s="358"/>
      <c r="G920" s="358">
        <v>590</v>
      </c>
      <c r="H920" s="358">
        <v>11.2</v>
      </c>
      <c r="I920" s="358"/>
      <c r="J920" s="358" t="s">
        <v>152</v>
      </c>
      <c r="K920" s="359" t="b">
        <f t="shared" si="36"/>
        <v>1</v>
      </c>
      <c r="L920" s="359">
        <v>3</v>
      </c>
      <c r="M920" s="360">
        <v>2019</v>
      </c>
      <c r="N920" s="361">
        <v>3550000</v>
      </c>
      <c r="O920" s="362">
        <v>42642</v>
      </c>
      <c r="P920" s="362">
        <v>42642</v>
      </c>
    </row>
    <row r="921" spans="1:16" ht="14.25">
      <c r="A921" s="356">
        <v>2016</v>
      </c>
      <c r="B921" s="357" t="s">
        <v>476</v>
      </c>
      <c r="C921" s="357" t="s">
        <v>477</v>
      </c>
      <c r="D921" s="358">
        <v>1021011</v>
      </c>
      <c r="E921" s="358">
        <v>1</v>
      </c>
      <c r="F921" s="358"/>
      <c r="G921" s="358">
        <v>590</v>
      </c>
      <c r="H921" s="358">
        <v>11.2</v>
      </c>
      <c r="I921" s="358"/>
      <c r="J921" s="358" t="s">
        <v>152</v>
      </c>
      <c r="K921" s="359" t="b">
        <f t="shared" si="36"/>
        <v>1</v>
      </c>
      <c r="L921" s="359">
        <v>6</v>
      </c>
      <c r="M921" s="360">
        <v>2022</v>
      </c>
      <c r="N921" s="361">
        <v>0</v>
      </c>
      <c r="O921" s="362">
        <v>42642</v>
      </c>
      <c r="P921" s="362">
        <v>42642</v>
      </c>
    </row>
    <row r="922" spans="1:16" ht="14.25">
      <c r="A922" s="356">
        <v>2016</v>
      </c>
      <c r="B922" s="357" t="s">
        <v>476</v>
      </c>
      <c r="C922" s="357" t="s">
        <v>477</v>
      </c>
      <c r="D922" s="358">
        <v>1021011</v>
      </c>
      <c r="E922" s="358">
        <v>1</v>
      </c>
      <c r="F922" s="358"/>
      <c r="G922" s="358">
        <v>700</v>
      </c>
      <c r="H922" s="358">
        <v>12.2</v>
      </c>
      <c r="I922" s="358"/>
      <c r="J922" s="358" t="s">
        <v>183</v>
      </c>
      <c r="K922" s="359" t="b">
        <f aca="true" t="shared" si="37" ref="K922:K939">FALSE</f>
        <v>0</v>
      </c>
      <c r="L922" s="359">
        <v>0</v>
      </c>
      <c r="M922" s="360">
        <v>2016</v>
      </c>
      <c r="N922" s="361">
        <v>691664.53</v>
      </c>
      <c r="O922" s="362">
        <v>42642</v>
      </c>
      <c r="P922" s="362">
        <v>42642</v>
      </c>
    </row>
    <row r="923" spans="1:16" ht="14.25">
      <c r="A923" s="356">
        <v>2016</v>
      </c>
      <c r="B923" s="357" t="s">
        <v>476</v>
      </c>
      <c r="C923" s="357" t="s">
        <v>477</v>
      </c>
      <c r="D923" s="358">
        <v>1021011</v>
      </c>
      <c r="E923" s="358">
        <v>1</v>
      </c>
      <c r="F923" s="358"/>
      <c r="G923" s="358">
        <v>700</v>
      </c>
      <c r="H923" s="358">
        <v>12.2</v>
      </c>
      <c r="I923" s="358"/>
      <c r="J923" s="358" t="s">
        <v>183</v>
      </c>
      <c r="K923" s="359" t="b">
        <f t="shared" si="37"/>
        <v>0</v>
      </c>
      <c r="L923" s="359">
        <v>8</v>
      </c>
      <c r="M923" s="360">
        <v>2024</v>
      </c>
      <c r="N923" s="361">
        <v>0</v>
      </c>
      <c r="O923" s="362">
        <v>42642</v>
      </c>
      <c r="P923" s="362">
        <v>42642</v>
      </c>
    </row>
    <row r="924" spans="1:16" ht="14.25">
      <c r="A924" s="356">
        <v>2016</v>
      </c>
      <c r="B924" s="357" t="s">
        <v>476</v>
      </c>
      <c r="C924" s="357" t="s">
        <v>477</v>
      </c>
      <c r="D924" s="358">
        <v>1021011</v>
      </c>
      <c r="E924" s="358">
        <v>1</v>
      </c>
      <c r="F924" s="358"/>
      <c r="G924" s="358">
        <v>700</v>
      </c>
      <c r="H924" s="358">
        <v>12.2</v>
      </c>
      <c r="I924" s="358"/>
      <c r="J924" s="358" t="s">
        <v>183</v>
      </c>
      <c r="K924" s="359" t="b">
        <f t="shared" si="37"/>
        <v>0</v>
      </c>
      <c r="L924" s="359">
        <v>4</v>
      </c>
      <c r="M924" s="360">
        <v>2020</v>
      </c>
      <c r="N924" s="361">
        <v>0</v>
      </c>
      <c r="O924" s="362">
        <v>42642</v>
      </c>
      <c r="P924" s="362">
        <v>42642</v>
      </c>
    </row>
    <row r="925" spans="1:16" ht="14.25">
      <c r="A925" s="356">
        <v>2016</v>
      </c>
      <c r="B925" s="357" t="s">
        <v>476</v>
      </c>
      <c r="C925" s="357" t="s">
        <v>477</v>
      </c>
      <c r="D925" s="358">
        <v>1021011</v>
      </c>
      <c r="E925" s="358">
        <v>1</v>
      </c>
      <c r="F925" s="358"/>
      <c r="G925" s="358">
        <v>700</v>
      </c>
      <c r="H925" s="358">
        <v>12.2</v>
      </c>
      <c r="I925" s="358"/>
      <c r="J925" s="358" t="s">
        <v>183</v>
      </c>
      <c r="K925" s="359" t="b">
        <f t="shared" si="37"/>
        <v>0</v>
      </c>
      <c r="L925" s="359">
        <v>3</v>
      </c>
      <c r="M925" s="360">
        <v>2019</v>
      </c>
      <c r="N925" s="361">
        <v>0</v>
      </c>
      <c r="O925" s="362">
        <v>42642</v>
      </c>
      <c r="P925" s="362">
        <v>42642</v>
      </c>
    </row>
    <row r="926" spans="1:16" ht="14.25">
      <c r="A926" s="356">
        <v>2016</v>
      </c>
      <c r="B926" s="357" t="s">
        <v>476</v>
      </c>
      <c r="C926" s="357" t="s">
        <v>477</v>
      </c>
      <c r="D926" s="358">
        <v>1021011</v>
      </c>
      <c r="E926" s="358">
        <v>1</v>
      </c>
      <c r="F926" s="358"/>
      <c r="G926" s="358">
        <v>700</v>
      </c>
      <c r="H926" s="358">
        <v>12.2</v>
      </c>
      <c r="I926" s="358"/>
      <c r="J926" s="358" t="s">
        <v>183</v>
      </c>
      <c r="K926" s="359" t="b">
        <f t="shared" si="37"/>
        <v>0</v>
      </c>
      <c r="L926" s="359">
        <v>2</v>
      </c>
      <c r="M926" s="360">
        <v>2018</v>
      </c>
      <c r="N926" s="361">
        <v>0</v>
      </c>
      <c r="O926" s="362">
        <v>42642</v>
      </c>
      <c r="P926" s="362">
        <v>42642</v>
      </c>
    </row>
    <row r="927" spans="1:16" ht="14.25">
      <c r="A927" s="356">
        <v>2016</v>
      </c>
      <c r="B927" s="357" t="s">
        <v>476</v>
      </c>
      <c r="C927" s="357" t="s">
        <v>477</v>
      </c>
      <c r="D927" s="358">
        <v>1021011</v>
      </c>
      <c r="E927" s="358">
        <v>1</v>
      </c>
      <c r="F927" s="358"/>
      <c r="G927" s="358">
        <v>700</v>
      </c>
      <c r="H927" s="358">
        <v>12.2</v>
      </c>
      <c r="I927" s="358"/>
      <c r="J927" s="358" t="s">
        <v>183</v>
      </c>
      <c r="K927" s="359" t="b">
        <f t="shared" si="37"/>
        <v>0</v>
      </c>
      <c r="L927" s="359">
        <v>5</v>
      </c>
      <c r="M927" s="360">
        <v>2021</v>
      </c>
      <c r="N927" s="361">
        <v>0</v>
      </c>
      <c r="O927" s="362">
        <v>42642</v>
      </c>
      <c r="P927" s="362">
        <v>42642</v>
      </c>
    </row>
    <row r="928" spans="1:16" ht="14.25">
      <c r="A928" s="356">
        <v>2016</v>
      </c>
      <c r="B928" s="357" t="s">
        <v>476</v>
      </c>
      <c r="C928" s="357" t="s">
        <v>477</v>
      </c>
      <c r="D928" s="358">
        <v>1021011</v>
      </c>
      <c r="E928" s="358">
        <v>1</v>
      </c>
      <c r="F928" s="358"/>
      <c r="G928" s="358">
        <v>700</v>
      </c>
      <c r="H928" s="358">
        <v>12.2</v>
      </c>
      <c r="I928" s="358"/>
      <c r="J928" s="358" t="s">
        <v>183</v>
      </c>
      <c r="K928" s="359" t="b">
        <f t="shared" si="37"/>
        <v>0</v>
      </c>
      <c r="L928" s="359">
        <v>1</v>
      </c>
      <c r="M928" s="360">
        <v>2017</v>
      </c>
      <c r="N928" s="361">
        <v>0</v>
      </c>
      <c r="O928" s="362">
        <v>42642</v>
      </c>
      <c r="P928" s="362">
        <v>42642</v>
      </c>
    </row>
    <row r="929" spans="1:16" ht="14.25">
      <c r="A929" s="356">
        <v>2016</v>
      </c>
      <c r="B929" s="357" t="s">
        <v>476</v>
      </c>
      <c r="C929" s="357" t="s">
        <v>477</v>
      </c>
      <c r="D929" s="358">
        <v>1021011</v>
      </c>
      <c r="E929" s="358">
        <v>1</v>
      </c>
      <c r="F929" s="358"/>
      <c r="G929" s="358">
        <v>700</v>
      </c>
      <c r="H929" s="358">
        <v>12.2</v>
      </c>
      <c r="I929" s="358"/>
      <c r="J929" s="358" t="s">
        <v>183</v>
      </c>
      <c r="K929" s="359" t="b">
        <f t="shared" si="37"/>
        <v>0</v>
      </c>
      <c r="L929" s="359">
        <v>7</v>
      </c>
      <c r="M929" s="360">
        <v>2023</v>
      </c>
      <c r="N929" s="361">
        <v>0</v>
      </c>
      <c r="O929" s="362">
        <v>42642</v>
      </c>
      <c r="P929" s="362">
        <v>42642</v>
      </c>
    </row>
    <row r="930" spans="1:16" ht="14.25">
      <c r="A930" s="356">
        <v>2016</v>
      </c>
      <c r="B930" s="357" t="s">
        <v>476</v>
      </c>
      <c r="C930" s="357" t="s">
        <v>477</v>
      </c>
      <c r="D930" s="358">
        <v>1021011</v>
      </c>
      <c r="E930" s="358">
        <v>1</v>
      </c>
      <c r="F930" s="358"/>
      <c r="G930" s="358">
        <v>700</v>
      </c>
      <c r="H930" s="358">
        <v>12.2</v>
      </c>
      <c r="I930" s="358"/>
      <c r="J930" s="358" t="s">
        <v>183</v>
      </c>
      <c r="K930" s="359" t="b">
        <f t="shared" si="37"/>
        <v>0</v>
      </c>
      <c r="L930" s="359">
        <v>6</v>
      </c>
      <c r="M930" s="360">
        <v>2022</v>
      </c>
      <c r="N930" s="361">
        <v>0</v>
      </c>
      <c r="O930" s="362">
        <v>42642</v>
      </c>
      <c r="P930" s="362">
        <v>42642</v>
      </c>
    </row>
    <row r="931" spans="1:16" ht="14.25">
      <c r="A931" s="356">
        <v>2016</v>
      </c>
      <c r="B931" s="357" t="s">
        <v>476</v>
      </c>
      <c r="C931" s="357" t="s">
        <v>477</v>
      </c>
      <c r="D931" s="358">
        <v>1021011</v>
      </c>
      <c r="E931" s="358">
        <v>1</v>
      </c>
      <c r="F931" s="358"/>
      <c r="G931" s="358">
        <v>220</v>
      </c>
      <c r="H931" s="358">
        <v>4.1</v>
      </c>
      <c r="I931" s="358"/>
      <c r="J931" s="358" t="s">
        <v>71</v>
      </c>
      <c r="K931" s="359" t="b">
        <f t="shared" si="37"/>
        <v>0</v>
      </c>
      <c r="L931" s="359">
        <v>5</v>
      </c>
      <c r="M931" s="360">
        <v>2021</v>
      </c>
      <c r="N931" s="361">
        <v>0</v>
      </c>
      <c r="O931" s="362">
        <v>42642</v>
      </c>
      <c r="P931" s="362">
        <v>42642</v>
      </c>
    </row>
    <row r="932" spans="1:16" ht="14.25">
      <c r="A932" s="356">
        <v>2016</v>
      </c>
      <c r="B932" s="357" t="s">
        <v>476</v>
      </c>
      <c r="C932" s="357" t="s">
        <v>477</v>
      </c>
      <c r="D932" s="358">
        <v>1021011</v>
      </c>
      <c r="E932" s="358">
        <v>1</v>
      </c>
      <c r="F932" s="358"/>
      <c r="G932" s="358">
        <v>220</v>
      </c>
      <c r="H932" s="358">
        <v>4.1</v>
      </c>
      <c r="I932" s="358"/>
      <c r="J932" s="358" t="s">
        <v>71</v>
      </c>
      <c r="K932" s="359" t="b">
        <f t="shared" si="37"/>
        <v>0</v>
      </c>
      <c r="L932" s="359">
        <v>4</v>
      </c>
      <c r="M932" s="360">
        <v>2020</v>
      </c>
      <c r="N932" s="361">
        <v>0</v>
      </c>
      <c r="O932" s="362">
        <v>42642</v>
      </c>
      <c r="P932" s="362">
        <v>42642</v>
      </c>
    </row>
    <row r="933" spans="1:16" ht="14.25">
      <c r="A933" s="356">
        <v>2016</v>
      </c>
      <c r="B933" s="357" t="s">
        <v>476</v>
      </c>
      <c r="C933" s="357" t="s">
        <v>477</v>
      </c>
      <c r="D933" s="358">
        <v>1021011</v>
      </c>
      <c r="E933" s="358">
        <v>1</v>
      </c>
      <c r="F933" s="358"/>
      <c r="G933" s="358">
        <v>220</v>
      </c>
      <c r="H933" s="358">
        <v>4.1</v>
      </c>
      <c r="I933" s="358"/>
      <c r="J933" s="358" t="s">
        <v>71</v>
      </c>
      <c r="K933" s="359" t="b">
        <f t="shared" si="37"/>
        <v>0</v>
      </c>
      <c r="L933" s="359">
        <v>7</v>
      </c>
      <c r="M933" s="360">
        <v>2023</v>
      </c>
      <c r="N933" s="361">
        <v>0</v>
      </c>
      <c r="O933" s="362">
        <v>42642</v>
      </c>
      <c r="P933" s="362">
        <v>42642</v>
      </c>
    </row>
    <row r="934" spans="1:16" ht="14.25">
      <c r="A934" s="356">
        <v>2016</v>
      </c>
      <c r="B934" s="357" t="s">
        <v>476</v>
      </c>
      <c r="C934" s="357" t="s">
        <v>477</v>
      </c>
      <c r="D934" s="358">
        <v>1021011</v>
      </c>
      <c r="E934" s="358">
        <v>1</v>
      </c>
      <c r="F934" s="358"/>
      <c r="G934" s="358">
        <v>220</v>
      </c>
      <c r="H934" s="358">
        <v>4.1</v>
      </c>
      <c r="I934" s="358"/>
      <c r="J934" s="358" t="s">
        <v>71</v>
      </c>
      <c r="K934" s="359" t="b">
        <f t="shared" si="37"/>
        <v>0</v>
      </c>
      <c r="L934" s="359">
        <v>3</v>
      </c>
      <c r="M934" s="360">
        <v>2019</v>
      </c>
      <c r="N934" s="361">
        <v>0</v>
      </c>
      <c r="O934" s="362">
        <v>42642</v>
      </c>
      <c r="P934" s="362">
        <v>42642</v>
      </c>
    </row>
    <row r="935" spans="1:16" ht="14.25">
      <c r="A935" s="356">
        <v>2016</v>
      </c>
      <c r="B935" s="357" t="s">
        <v>476</v>
      </c>
      <c r="C935" s="357" t="s">
        <v>477</v>
      </c>
      <c r="D935" s="358">
        <v>1021011</v>
      </c>
      <c r="E935" s="358">
        <v>1</v>
      </c>
      <c r="F935" s="358"/>
      <c r="G935" s="358">
        <v>220</v>
      </c>
      <c r="H935" s="358">
        <v>4.1</v>
      </c>
      <c r="I935" s="358"/>
      <c r="J935" s="358" t="s">
        <v>71</v>
      </c>
      <c r="K935" s="359" t="b">
        <f t="shared" si="37"/>
        <v>0</v>
      </c>
      <c r="L935" s="359">
        <v>0</v>
      </c>
      <c r="M935" s="360">
        <v>2016</v>
      </c>
      <c r="N935" s="361">
        <v>0</v>
      </c>
      <c r="O935" s="362">
        <v>42642</v>
      </c>
      <c r="P935" s="362">
        <v>42642</v>
      </c>
    </row>
    <row r="936" spans="1:16" ht="14.25">
      <c r="A936" s="356">
        <v>2016</v>
      </c>
      <c r="B936" s="357" t="s">
        <v>476</v>
      </c>
      <c r="C936" s="357" t="s">
        <v>477</v>
      </c>
      <c r="D936" s="358">
        <v>1021011</v>
      </c>
      <c r="E936" s="358">
        <v>1</v>
      </c>
      <c r="F936" s="358"/>
      <c r="G936" s="358">
        <v>220</v>
      </c>
      <c r="H936" s="358">
        <v>4.1</v>
      </c>
      <c r="I936" s="358"/>
      <c r="J936" s="358" t="s">
        <v>71</v>
      </c>
      <c r="K936" s="359" t="b">
        <f t="shared" si="37"/>
        <v>0</v>
      </c>
      <c r="L936" s="359">
        <v>1</v>
      </c>
      <c r="M936" s="360">
        <v>2017</v>
      </c>
      <c r="N936" s="361">
        <v>0</v>
      </c>
      <c r="O936" s="362">
        <v>42642</v>
      </c>
      <c r="P936" s="362">
        <v>42642</v>
      </c>
    </row>
    <row r="937" spans="1:16" ht="14.25">
      <c r="A937" s="356">
        <v>2016</v>
      </c>
      <c r="B937" s="357" t="s">
        <v>476</v>
      </c>
      <c r="C937" s="357" t="s">
        <v>477</v>
      </c>
      <c r="D937" s="358">
        <v>1021011</v>
      </c>
      <c r="E937" s="358">
        <v>1</v>
      </c>
      <c r="F937" s="358"/>
      <c r="G937" s="358">
        <v>220</v>
      </c>
      <c r="H937" s="358">
        <v>4.1</v>
      </c>
      <c r="I937" s="358"/>
      <c r="J937" s="358" t="s">
        <v>71</v>
      </c>
      <c r="K937" s="359" t="b">
        <f t="shared" si="37"/>
        <v>0</v>
      </c>
      <c r="L937" s="359">
        <v>6</v>
      </c>
      <c r="M937" s="360">
        <v>2022</v>
      </c>
      <c r="N937" s="361">
        <v>0</v>
      </c>
      <c r="O937" s="362">
        <v>42642</v>
      </c>
      <c r="P937" s="362">
        <v>42642</v>
      </c>
    </row>
    <row r="938" spans="1:16" ht="14.25">
      <c r="A938" s="356">
        <v>2016</v>
      </c>
      <c r="B938" s="357" t="s">
        <v>476</v>
      </c>
      <c r="C938" s="357" t="s">
        <v>477</v>
      </c>
      <c r="D938" s="358">
        <v>1021011</v>
      </c>
      <c r="E938" s="358">
        <v>1</v>
      </c>
      <c r="F938" s="358"/>
      <c r="G938" s="358">
        <v>220</v>
      </c>
      <c r="H938" s="358">
        <v>4.1</v>
      </c>
      <c r="I938" s="358"/>
      <c r="J938" s="358" t="s">
        <v>71</v>
      </c>
      <c r="K938" s="359" t="b">
        <f t="shared" si="37"/>
        <v>0</v>
      </c>
      <c r="L938" s="359">
        <v>8</v>
      </c>
      <c r="M938" s="360">
        <v>2024</v>
      </c>
      <c r="N938" s="361">
        <v>0</v>
      </c>
      <c r="O938" s="362">
        <v>42642</v>
      </c>
      <c r="P938" s="362">
        <v>42642</v>
      </c>
    </row>
    <row r="939" spans="1:16" ht="14.25">
      <c r="A939" s="356">
        <v>2016</v>
      </c>
      <c r="B939" s="357" t="s">
        <v>476</v>
      </c>
      <c r="C939" s="357" t="s">
        <v>477</v>
      </c>
      <c r="D939" s="358">
        <v>1021011</v>
      </c>
      <c r="E939" s="358">
        <v>1</v>
      </c>
      <c r="F939" s="358"/>
      <c r="G939" s="358">
        <v>220</v>
      </c>
      <c r="H939" s="358">
        <v>4.1</v>
      </c>
      <c r="I939" s="358"/>
      <c r="J939" s="358" t="s">
        <v>71</v>
      </c>
      <c r="K939" s="359" t="b">
        <f t="shared" si="37"/>
        <v>0</v>
      </c>
      <c r="L939" s="359">
        <v>2</v>
      </c>
      <c r="M939" s="360">
        <v>2018</v>
      </c>
      <c r="N939" s="361">
        <v>0</v>
      </c>
      <c r="O939" s="362">
        <v>42642</v>
      </c>
      <c r="P939" s="362">
        <v>42642</v>
      </c>
    </row>
    <row r="940" spans="1:16" ht="14.25">
      <c r="A940" s="356">
        <v>2016</v>
      </c>
      <c r="B940" s="357" t="s">
        <v>476</v>
      </c>
      <c r="C940" s="357" t="s">
        <v>477</v>
      </c>
      <c r="D940" s="358">
        <v>1021011</v>
      </c>
      <c r="E940" s="358">
        <v>1</v>
      </c>
      <c r="F940" s="358"/>
      <c r="G940" s="358">
        <v>336</v>
      </c>
      <c r="H940" s="358" t="s">
        <v>101</v>
      </c>
      <c r="I940" s="358"/>
      <c r="J940" s="358" t="s">
        <v>102</v>
      </c>
      <c r="K940" s="359" t="b">
        <f aca="true" t="shared" si="38" ref="K940:K966">TRUE</f>
        <v>1</v>
      </c>
      <c r="L940" s="359">
        <v>2</v>
      </c>
      <c r="M940" s="360">
        <v>2018</v>
      </c>
      <c r="N940" s="361">
        <v>0</v>
      </c>
      <c r="O940" s="362">
        <v>42642</v>
      </c>
      <c r="P940" s="362">
        <v>42642</v>
      </c>
    </row>
    <row r="941" spans="1:16" ht="14.25">
      <c r="A941" s="356">
        <v>2016</v>
      </c>
      <c r="B941" s="357" t="s">
        <v>476</v>
      </c>
      <c r="C941" s="357" t="s">
        <v>477</v>
      </c>
      <c r="D941" s="358">
        <v>1021011</v>
      </c>
      <c r="E941" s="358">
        <v>1</v>
      </c>
      <c r="F941" s="358"/>
      <c r="G941" s="358">
        <v>336</v>
      </c>
      <c r="H941" s="358" t="s">
        <v>101</v>
      </c>
      <c r="I941" s="358"/>
      <c r="J941" s="358" t="s">
        <v>102</v>
      </c>
      <c r="K941" s="359" t="b">
        <f t="shared" si="38"/>
        <v>1</v>
      </c>
      <c r="L941" s="359">
        <v>1</v>
      </c>
      <c r="M941" s="360">
        <v>2017</v>
      </c>
      <c r="N941" s="361">
        <v>0</v>
      </c>
      <c r="O941" s="362">
        <v>42642</v>
      </c>
      <c r="P941" s="362">
        <v>42642</v>
      </c>
    </row>
    <row r="942" spans="1:16" ht="14.25">
      <c r="A942" s="356">
        <v>2016</v>
      </c>
      <c r="B942" s="357" t="s">
        <v>476</v>
      </c>
      <c r="C942" s="357" t="s">
        <v>477</v>
      </c>
      <c r="D942" s="358">
        <v>1021011</v>
      </c>
      <c r="E942" s="358">
        <v>1</v>
      </c>
      <c r="F942" s="358"/>
      <c r="G942" s="358">
        <v>336</v>
      </c>
      <c r="H942" s="358" t="s">
        <v>101</v>
      </c>
      <c r="I942" s="358"/>
      <c r="J942" s="358" t="s">
        <v>102</v>
      </c>
      <c r="K942" s="359" t="b">
        <f t="shared" si="38"/>
        <v>1</v>
      </c>
      <c r="L942" s="359">
        <v>7</v>
      </c>
      <c r="M942" s="360">
        <v>2023</v>
      </c>
      <c r="N942" s="361">
        <v>0</v>
      </c>
      <c r="O942" s="362">
        <v>42642</v>
      </c>
      <c r="P942" s="362">
        <v>42642</v>
      </c>
    </row>
    <row r="943" spans="1:16" ht="14.25">
      <c r="A943" s="356">
        <v>2016</v>
      </c>
      <c r="B943" s="357" t="s">
        <v>476</v>
      </c>
      <c r="C943" s="357" t="s">
        <v>477</v>
      </c>
      <c r="D943" s="358">
        <v>1021011</v>
      </c>
      <c r="E943" s="358">
        <v>1</v>
      </c>
      <c r="F943" s="358"/>
      <c r="G943" s="358">
        <v>336</v>
      </c>
      <c r="H943" s="358" t="s">
        <v>101</v>
      </c>
      <c r="I943" s="358"/>
      <c r="J943" s="358" t="s">
        <v>102</v>
      </c>
      <c r="K943" s="359" t="b">
        <f t="shared" si="38"/>
        <v>1</v>
      </c>
      <c r="L943" s="359">
        <v>0</v>
      </c>
      <c r="M943" s="360">
        <v>2016</v>
      </c>
      <c r="N943" s="361">
        <v>0</v>
      </c>
      <c r="O943" s="362">
        <v>42642</v>
      </c>
      <c r="P943" s="362">
        <v>42642</v>
      </c>
    </row>
    <row r="944" spans="1:16" ht="14.25">
      <c r="A944" s="356">
        <v>2016</v>
      </c>
      <c r="B944" s="357" t="s">
        <v>476</v>
      </c>
      <c r="C944" s="357" t="s">
        <v>477</v>
      </c>
      <c r="D944" s="358">
        <v>1021011</v>
      </c>
      <c r="E944" s="358">
        <v>1</v>
      </c>
      <c r="F944" s="358"/>
      <c r="G944" s="358">
        <v>336</v>
      </c>
      <c r="H944" s="358" t="s">
        <v>101</v>
      </c>
      <c r="I944" s="358"/>
      <c r="J944" s="358" t="s">
        <v>102</v>
      </c>
      <c r="K944" s="359" t="b">
        <f t="shared" si="38"/>
        <v>1</v>
      </c>
      <c r="L944" s="359">
        <v>5</v>
      </c>
      <c r="M944" s="360">
        <v>2021</v>
      </c>
      <c r="N944" s="361">
        <v>0</v>
      </c>
      <c r="O944" s="362">
        <v>42642</v>
      </c>
      <c r="P944" s="362">
        <v>42642</v>
      </c>
    </row>
    <row r="945" spans="1:16" ht="14.25">
      <c r="A945" s="356">
        <v>2016</v>
      </c>
      <c r="B945" s="357" t="s">
        <v>476</v>
      </c>
      <c r="C945" s="357" t="s">
        <v>477</v>
      </c>
      <c r="D945" s="358">
        <v>1021011</v>
      </c>
      <c r="E945" s="358">
        <v>1</v>
      </c>
      <c r="F945" s="358"/>
      <c r="G945" s="358">
        <v>336</v>
      </c>
      <c r="H945" s="358" t="s">
        <v>101</v>
      </c>
      <c r="I945" s="358"/>
      <c r="J945" s="358" t="s">
        <v>102</v>
      </c>
      <c r="K945" s="359" t="b">
        <f t="shared" si="38"/>
        <v>1</v>
      </c>
      <c r="L945" s="359">
        <v>3</v>
      </c>
      <c r="M945" s="360">
        <v>2019</v>
      </c>
      <c r="N945" s="361">
        <v>0</v>
      </c>
      <c r="O945" s="362">
        <v>42642</v>
      </c>
      <c r="P945" s="362">
        <v>42642</v>
      </c>
    </row>
    <row r="946" spans="1:16" ht="14.25">
      <c r="A946" s="356">
        <v>2016</v>
      </c>
      <c r="B946" s="357" t="s">
        <v>476</v>
      </c>
      <c r="C946" s="357" t="s">
        <v>477</v>
      </c>
      <c r="D946" s="358">
        <v>1021011</v>
      </c>
      <c r="E946" s="358">
        <v>1</v>
      </c>
      <c r="F946" s="358"/>
      <c r="G946" s="358">
        <v>336</v>
      </c>
      <c r="H946" s="358" t="s">
        <v>101</v>
      </c>
      <c r="I946" s="358"/>
      <c r="J946" s="358" t="s">
        <v>102</v>
      </c>
      <c r="K946" s="359" t="b">
        <f t="shared" si="38"/>
        <v>1</v>
      </c>
      <c r="L946" s="359">
        <v>8</v>
      </c>
      <c r="M946" s="360">
        <v>2024</v>
      </c>
      <c r="N946" s="361">
        <v>0</v>
      </c>
      <c r="O946" s="362">
        <v>42642</v>
      </c>
      <c r="P946" s="362">
        <v>42642</v>
      </c>
    </row>
    <row r="947" spans="1:16" ht="14.25">
      <c r="A947" s="356">
        <v>2016</v>
      </c>
      <c r="B947" s="357" t="s">
        <v>476</v>
      </c>
      <c r="C947" s="357" t="s">
        <v>477</v>
      </c>
      <c r="D947" s="358">
        <v>1021011</v>
      </c>
      <c r="E947" s="358">
        <v>1</v>
      </c>
      <c r="F947" s="358"/>
      <c r="G947" s="358">
        <v>336</v>
      </c>
      <c r="H947" s="358" t="s">
        <v>101</v>
      </c>
      <c r="I947" s="358"/>
      <c r="J947" s="358" t="s">
        <v>102</v>
      </c>
      <c r="K947" s="359" t="b">
        <f t="shared" si="38"/>
        <v>1</v>
      </c>
      <c r="L947" s="359">
        <v>4</v>
      </c>
      <c r="M947" s="360">
        <v>2020</v>
      </c>
      <c r="N947" s="361">
        <v>0</v>
      </c>
      <c r="O947" s="362">
        <v>42642</v>
      </c>
      <c r="P947" s="362">
        <v>42642</v>
      </c>
    </row>
    <row r="948" spans="1:16" ht="14.25">
      <c r="A948" s="356">
        <v>2016</v>
      </c>
      <c r="B948" s="357" t="s">
        <v>476</v>
      </c>
      <c r="C948" s="357" t="s">
        <v>477</v>
      </c>
      <c r="D948" s="358">
        <v>1021011</v>
      </c>
      <c r="E948" s="358">
        <v>1</v>
      </c>
      <c r="F948" s="358"/>
      <c r="G948" s="358">
        <v>336</v>
      </c>
      <c r="H948" s="358" t="s">
        <v>101</v>
      </c>
      <c r="I948" s="358"/>
      <c r="J948" s="358" t="s">
        <v>102</v>
      </c>
      <c r="K948" s="359" t="b">
        <f t="shared" si="38"/>
        <v>1</v>
      </c>
      <c r="L948" s="359">
        <v>6</v>
      </c>
      <c r="M948" s="360">
        <v>2022</v>
      </c>
      <c r="N948" s="361">
        <v>0</v>
      </c>
      <c r="O948" s="362">
        <v>42642</v>
      </c>
      <c r="P948" s="362">
        <v>42642</v>
      </c>
    </row>
    <row r="949" spans="1:16" ht="14.25">
      <c r="A949" s="356">
        <v>2016</v>
      </c>
      <c r="B949" s="357" t="s">
        <v>476</v>
      </c>
      <c r="C949" s="357" t="s">
        <v>477</v>
      </c>
      <c r="D949" s="358">
        <v>1021011</v>
      </c>
      <c r="E949" s="358">
        <v>1</v>
      </c>
      <c r="F949" s="358"/>
      <c r="G949" s="358">
        <v>790</v>
      </c>
      <c r="H949" s="358">
        <v>13</v>
      </c>
      <c r="I949" s="358"/>
      <c r="J949" s="358" t="s">
        <v>226</v>
      </c>
      <c r="K949" s="359" t="b">
        <f t="shared" si="38"/>
        <v>1</v>
      </c>
      <c r="L949" s="359">
        <v>2</v>
      </c>
      <c r="M949" s="360">
        <v>2018</v>
      </c>
      <c r="N949" s="361">
        <v>0</v>
      </c>
      <c r="O949" s="362">
        <v>42642</v>
      </c>
      <c r="P949" s="362">
        <v>42642</v>
      </c>
    </row>
    <row r="950" spans="1:16" ht="14.25">
      <c r="A950" s="356">
        <v>2016</v>
      </c>
      <c r="B950" s="357" t="s">
        <v>476</v>
      </c>
      <c r="C950" s="357" t="s">
        <v>477</v>
      </c>
      <c r="D950" s="358">
        <v>1021011</v>
      </c>
      <c r="E950" s="358">
        <v>1</v>
      </c>
      <c r="F950" s="358"/>
      <c r="G950" s="358">
        <v>790</v>
      </c>
      <c r="H950" s="358">
        <v>13</v>
      </c>
      <c r="I950" s="358"/>
      <c r="J950" s="358" t="s">
        <v>226</v>
      </c>
      <c r="K950" s="359" t="b">
        <f t="shared" si="38"/>
        <v>1</v>
      </c>
      <c r="L950" s="359">
        <v>6</v>
      </c>
      <c r="M950" s="360">
        <v>2022</v>
      </c>
      <c r="N950" s="361">
        <v>0</v>
      </c>
      <c r="O950" s="362">
        <v>42642</v>
      </c>
      <c r="P950" s="362">
        <v>42642</v>
      </c>
    </row>
    <row r="951" spans="1:16" ht="14.25">
      <c r="A951" s="356">
        <v>2016</v>
      </c>
      <c r="B951" s="357" t="s">
        <v>476</v>
      </c>
      <c r="C951" s="357" t="s">
        <v>477</v>
      </c>
      <c r="D951" s="358">
        <v>1021011</v>
      </c>
      <c r="E951" s="358">
        <v>1</v>
      </c>
      <c r="F951" s="358"/>
      <c r="G951" s="358">
        <v>790</v>
      </c>
      <c r="H951" s="358">
        <v>13</v>
      </c>
      <c r="I951" s="358"/>
      <c r="J951" s="358" t="s">
        <v>226</v>
      </c>
      <c r="K951" s="359" t="b">
        <f t="shared" si="38"/>
        <v>1</v>
      </c>
      <c r="L951" s="359">
        <v>3</v>
      </c>
      <c r="M951" s="360">
        <v>2019</v>
      </c>
      <c r="N951" s="361">
        <v>0</v>
      </c>
      <c r="O951" s="362">
        <v>42642</v>
      </c>
      <c r="P951" s="362">
        <v>42642</v>
      </c>
    </row>
    <row r="952" spans="1:16" ht="14.25">
      <c r="A952" s="356">
        <v>2016</v>
      </c>
      <c r="B952" s="357" t="s">
        <v>476</v>
      </c>
      <c r="C952" s="357" t="s">
        <v>477</v>
      </c>
      <c r="D952" s="358">
        <v>1021011</v>
      </c>
      <c r="E952" s="358">
        <v>1</v>
      </c>
      <c r="F952" s="358"/>
      <c r="G952" s="358">
        <v>790</v>
      </c>
      <c r="H952" s="358">
        <v>13</v>
      </c>
      <c r="I952" s="358"/>
      <c r="J952" s="358" t="s">
        <v>226</v>
      </c>
      <c r="K952" s="359" t="b">
        <f t="shared" si="38"/>
        <v>1</v>
      </c>
      <c r="L952" s="359">
        <v>5</v>
      </c>
      <c r="M952" s="360">
        <v>2021</v>
      </c>
      <c r="N952" s="361">
        <v>0</v>
      </c>
      <c r="O952" s="362">
        <v>42642</v>
      </c>
      <c r="P952" s="362">
        <v>42642</v>
      </c>
    </row>
    <row r="953" spans="1:16" ht="14.25">
      <c r="A953" s="356">
        <v>2016</v>
      </c>
      <c r="B953" s="357" t="s">
        <v>476</v>
      </c>
      <c r="C953" s="357" t="s">
        <v>477</v>
      </c>
      <c r="D953" s="358">
        <v>1021011</v>
      </c>
      <c r="E953" s="358">
        <v>1</v>
      </c>
      <c r="F953" s="358"/>
      <c r="G953" s="358">
        <v>790</v>
      </c>
      <c r="H953" s="358">
        <v>13</v>
      </c>
      <c r="I953" s="358"/>
      <c r="J953" s="358" t="s">
        <v>226</v>
      </c>
      <c r="K953" s="359" t="b">
        <f t="shared" si="38"/>
        <v>1</v>
      </c>
      <c r="L953" s="359">
        <v>0</v>
      </c>
      <c r="M953" s="360">
        <v>2016</v>
      </c>
      <c r="N953" s="361">
        <v>0</v>
      </c>
      <c r="O953" s="362">
        <v>42642</v>
      </c>
      <c r="P953" s="362">
        <v>42642</v>
      </c>
    </row>
    <row r="954" spans="1:16" ht="14.25">
      <c r="A954" s="356">
        <v>2016</v>
      </c>
      <c r="B954" s="357" t="s">
        <v>476</v>
      </c>
      <c r="C954" s="357" t="s">
        <v>477</v>
      </c>
      <c r="D954" s="358">
        <v>1021011</v>
      </c>
      <c r="E954" s="358">
        <v>1</v>
      </c>
      <c r="F954" s="358"/>
      <c r="G954" s="358">
        <v>790</v>
      </c>
      <c r="H954" s="358">
        <v>13</v>
      </c>
      <c r="I954" s="358"/>
      <c r="J954" s="358" t="s">
        <v>226</v>
      </c>
      <c r="K954" s="359" t="b">
        <f t="shared" si="38"/>
        <v>1</v>
      </c>
      <c r="L954" s="359">
        <v>7</v>
      </c>
      <c r="M954" s="360">
        <v>2023</v>
      </c>
      <c r="N954" s="361">
        <v>0</v>
      </c>
      <c r="O954" s="362">
        <v>42642</v>
      </c>
      <c r="P954" s="362">
        <v>42642</v>
      </c>
    </row>
    <row r="955" spans="1:16" ht="14.25">
      <c r="A955" s="356">
        <v>2016</v>
      </c>
      <c r="B955" s="357" t="s">
        <v>476</v>
      </c>
      <c r="C955" s="357" t="s">
        <v>477</v>
      </c>
      <c r="D955" s="358">
        <v>1021011</v>
      </c>
      <c r="E955" s="358">
        <v>1</v>
      </c>
      <c r="F955" s="358"/>
      <c r="G955" s="358">
        <v>790</v>
      </c>
      <c r="H955" s="358">
        <v>13</v>
      </c>
      <c r="I955" s="358"/>
      <c r="J955" s="358" t="s">
        <v>226</v>
      </c>
      <c r="K955" s="359" t="b">
        <f t="shared" si="38"/>
        <v>1</v>
      </c>
      <c r="L955" s="359">
        <v>1</v>
      </c>
      <c r="M955" s="360">
        <v>2017</v>
      </c>
      <c r="N955" s="361">
        <v>0</v>
      </c>
      <c r="O955" s="362">
        <v>42642</v>
      </c>
      <c r="P955" s="362">
        <v>42642</v>
      </c>
    </row>
    <row r="956" spans="1:16" ht="14.25">
      <c r="A956" s="356">
        <v>2016</v>
      </c>
      <c r="B956" s="357" t="s">
        <v>476</v>
      </c>
      <c r="C956" s="357" t="s">
        <v>477</v>
      </c>
      <c r="D956" s="358">
        <v>1021011</v>
      </c>
      <c r="E956" s="358">
        <v>1</v>
      </c>
      <c r="F956" s="358"/>
      <c r="G956" s="358">
        <v>790</v>
      </c>
      <c r="H956" s="358">
        <v>13</v>
      </c>
      <c r="I956" s="358"/>
      <c r="J956" s="358" t="s">
        <v>226</v>
      </c>
      <c r="K956" s="359" t="b">
        <f t="shared" si="38"/>
        <v>1</v>
      </c>
      <c r="L956" s="359">
        <v>4</v>
      </c>
      <c r="M956" s="360">
        <v>2020</v>
      </c>
      <c r="N956" s="361">
        <v>0</v>
      </c>
      <c r="O956" s="362">
        <v>42642</v>
      </c>
      <c r="P956" s="362">
        <v>42642</v>
      </c>
    </row>
    <row r="957" spans="1:16" ht="14.25">
      <c r="A957" s="356">
        <v>2016</v>
      </c>
      <c r="B957" s="357" t="s">
        <v>476</v>
      </c>
      <c r="C957" s="357" t="s">
        <v>477</v>
      </c>
      <c r="D957" s="358">
        <v>1021011</v>
      </c>
      <c r="E957" s="358">
        <v>1</v>
      </c>
      <c r="F957" s="358"/>
      <c r="G957" s="358">
        <v>790</v>
      </c>
      <c r="H957" s="358">
        <v>13</v>
      </c>
      <c r="I957" s="358"/>
      <c r="J957" s="358" t="s">
        <v>226</v>
      </c>
      <c r="K957" s="359" t="b">
        <f t="shared" si="38"/>
        <v>1</v>
      </c>
      <c r="L957" s="359">
        <v>8</v>
      </c>
      <c r="M957" s="360">
        <v>2024</v>
      </c>
      <c r="N957" s="361">
        <v>0</v>
      </c>
      <c r="O957" s="362">
        <v>42642</v>
      </c>
      <c r="P957" s="362">
        <v>42642</v>
      </c>
    </row>
    <row r="958" spans="1:16" ht="14.25">
      <c r="A958" s="356">
        <v>2016</v>
      </c>
      <c r="B958" s="357" t="s">
        <v>476</v>
      </c>
      <c r="C958" s="357" t="s">
        <v>477</v>
      </c>
      <c r="D958" s="358">
        <v>1021011</v>
      </c>
      <c r="E958" s="358">
        <v>1</v>
      </c>
      <c r="F958" s="358"/>
      <c r="G958" s="358">
        <v>100</v>
      </c>
      <c r="H958" s="358" t="s">
        <v>34</v>
      </c>
      <c r="I958" s="358"/>
      <c r="J958" s="358" t="s">
        <v>35</v>
      </c>
      <c r="K958" s="359" t="b">
        <f t="shared" si="38"/>
        <v>1</v>
      </c>
      <c r="L958" s="359">
        <v>1</v>
      </c>
      <c r="M958" s="360">
        <v>2017</v>
      </c>
      <c r="N958" s="361">
        <v>0</v>
      </c>
      <c r="O958" s="362">
        <v>42642</v>
      </c>
      <c r="P958" s="362">
        <v>42642</v>
      </c>
    </row>
    <row r="959" spans="1:16" ht="14.25">
      <c r="A959" s="356">
        <v>2016</v>
      </c>
      <c r="B959" s="357" t="s">
        <v>476</v>
      </c>
      <c r="C959" s="357" t="s">
        <v>477</v>
      </c>
      <c r="D959" s="358">
        <v>1021011</v>
      </c>
      <c r="E959" s="358">
        <v>1</v>
      </c>
      <c r="F959" s="358"/>
      <c r="G959" s="358">
        <v>100</v>
      </c>
      <c r="H959" s="358" t="s">
        <v>34</v>
      </c>
      <c r="I959" s="358"/>
      <c r="J959" s="358" t="s">
        <v>35</v>
      </c>
      <c r="K959" s="359" t="b">
        <f t="shared" si="38"/>
        <v>1</v>
      </c>
      <c r="L959" s="359">
        <v>2</v>
      </c>
      <c r="M959" s="360">
        <v>2018</v>
      </c>
      <c r="N959" s="361">
        <v>0</v>
      </c>
      <c r="O959" s="362">
        <v>42642</v>
      </c>
      <c r="P959" s="362">
        <v>42642</v>
      </c>
    </row>
    <row r="960" spans="1:16" ht="14.25">
      <c r="A960" s="356">
        <v>2016</v>
      </c>
      <c r="B960" s="357" t="s">
        <v>476</v>
      </c>
      <c r="C960" s="357" t="s">
        <v>477</v>
      </c>
      <c r="D960" s="358">
        <v>1021011</v>
      </c>
      <c r="E960" s="358">
        <v>1</v>
      </c>
      <c r="F960" s="358"/>
      <c r="G960" s="358">
        <v>100</v>
      </c>
      <c r="H960" s="358" t="s">
        <v>34</v>
      </c>
      <c r="I960" s="358"/>
      <c r="J960" s="358" t="s">
        <v>35</v>
      </c>
      <c r="K960" s="359" t="b">
        <f t="shared" si="38"/>
        <v>1</v>
      </c>
      <c r="L960" s="359">
        <v>7</v>
      </c>
      <c r="M960" s="360">
        <v>2023</v>
      </c>
      <c r="N960" s="361">
        <v>0</v>
      </c>
      <c r="O960" s="362">
        <v>42642</v>
      </c>
      <c r="P960" s="362">
        <v>42642</v>
      </c>
    </row>
    <row r="961" spans="1:16" ht="14.25">
      <c r="A961" s="356">
        <v>2016</v>
      </c>
      <c r="B961" s="357" t="s">
        <v>476</v>
      </c>
      <c r="C961" s="357" t="s">
        <v>477</v>
      </c>
      <c r="D961" s="358">
        <v>1021011</v>
      </c>
      <c r="E961" s="358">
        <v>1</v>
      </c>
      <c r="F961" s="358"/>
      <c r="G961" s="358">
        <v>100</v>
      </c>
      <c r="H961" s="358" t="s">
        <v>34</v>
      </c>
      <c r="I961" s="358"/>
      <c r="J961" s="358" t="s">
        <v>35</v>
      </c>
      <c r="K961" s="359" t="b">
        <f t="shared" si="38"/>
        <v>1</v>
      </c>
      <c r="L961" s="359">
        <v>3</v>
      </c>
      <c r="M961" s="360">
        <v>2019</v>
      </c>
      <c r="N961" s="361">
        <v>0</v>
      </c>
      <c r="O961" s="362">
        <v>42642</v>
      </c>
      <c r="P961" s="362">
        <v>42642</v>
      </c>
    </row>
    <row r="962" spans="1:16" ht="14.25">
      <c r="A962" s="356">
        <v>2016</v>
      </c>
      <c r="B962" s="357" t="s">
        <v>476</v>
      </c>
      <c r="C962" s="357" t="s">
        <v>477</v>
      </c>
      <c r="D962" s="358">
        <v>1021011</v>
      </c>
      <c r="E962" s="358">
        <v>1</v>
      </c>
      <c r="F962" s="358"/>
      <c r="G962" s="358">
        <v>100</v>
      </c>
      <c r="H962" s="358" t="s">
        <v>34</v>
      </c>
      <c r="I962" s="358"/>
      <c r="J962" s="358" t="s">
        <v>35</v>
      </c>
      <c r="K962" s="359" t="b">
        <f t="shared" si="38"/>
        <v>1</v>
      </c>
      <c r="L962" s="359">
        <v>4</v>
      </c>
      <c r="M962" s="360">
        <v>2020</v>
      </c>
      <c r="N962" s="361">
        <v>0</v>
      </c>
      <c r="O962" s="362">
        <v>42642</v>
      </c>
      <c r="P962" s="362">
        <v>42642</v>
      </c>
    </row>
    <row r="963" spans="1:16" ht="14.25">
      <c r="A963" s="356">
        <v>2016</v>
      </c>
      <c r="B963" s="357" t="s">
        <v>476</v>
      </c>
      <c r="C963" s="357" t="s">
        <v>477</v>
      </c>
      <c r="D963" s="358">
        <v>1021011</v>
      </c>
      <c r="E963" s="358">
        <v>1</v>
      </c>
      <c r="F963" s="358"/>
      <c r="G963" s="358">
        <v>100</v>
      </c>
      <c r="H963" s="358" t="s">
        <v>34</v>
      </c>
      <c r="I963" s="358"/>
      <c r="J963" s="358" t="s">
        <v>35</v>
      </c>
      <c r="K963" s="359" t="b">
        <f t="shared" si="38"/>
        <v>1</v>
      </c>
      <c r="L963" s="359">
        <v>8</v>
      </c>
      <c r="M963" s="360">
        <v>2024</v>
      </c>
      <c r="N963" s="361">
        <v>0</v>
      </c>
      <c r="O963" s="362">
        <v>42642</v>
      </c>
      <c r="P963" s="362">
        <v>42642</v>
      </c>
    </row>
    <row r="964" spans="1:16" ht="14.25">
      <c r="A964" s="356">
        <v>2016</v>
      </c>
      <c r="B964" s="357" t="s">
        <v>476</v>
      </c>
      <c r="C964" s="357" t="s">
        <v>477</v>
      </c>
      <c r="D964" s="358">
        <v>1021011</v>
      </c>
      <c r="E964" s="358">
        <v>1</v>
      </c>
      <c r="F964" s="358"/>
      <c r="G964" s="358">
        <v>100</v>
      </c>
      <c r="H964" s="358" t="s">
        <v>34</v>
      </c>
      <c r="I964" s="358"/>
      <c r="J964" s="358" t="s">
        <v>35</v>
      </c>
      <c r="K964" s="359" t="b">
        <f t="shared" si="38"/>
        <v>1</v>
      </c>
      <c r="L964" s="359">
        <v>0</v>
      </c>
      <c r="M964" s="360">
        <v>2016</v>
      </c>
      <c r="N964" s="361">
        <v>120000</v>
      </c>
      <c r="O964" s="362">
        <v>42642</v>
      </c>
      <c r="P964" s="362">
        <v>42642</v>
      </c>
    </row>
    <row r="965" spans="1:16" ht="14.25">
      <c r="A965" s="356">
        <v>2016</v>
      </c>
      <c r="B965" s="357" t="s">
        <v>476</v>
      </c>
      <c r="C965" s="357" t="s">
        <v>477</v>
      </c>
      <c r="D965" s="358">
        <v>1021011</v>
      </c>
      <c r="E965" s="358">
        <v>1</v>
      </c>
      <c r="F965" s="358"/>
      <c r="G965" s="358">
        <v>100</v>
      </c>
      <c r="H965" s="358" t="s">
        <v>34</v>
      </c>
      <c r="I965" s="358"/>
      <c r="J965" s="358" t="s">
        <v>35</v>
      </c>
      <c r="K965" s="359" t="b">
        <f t="shared" si="38"/>
        <v>1</v>
      </c>
      <c r="L965" s="359">
        <v>6</v>
      </c>
      <c r="M965" s="360">
        <v>2022</v>
      </c>
      <c r="N965" s="361">
        <v>0</v>
      </c>
      <c r="O965" s="362">
        <v>42642</v>
      </c>
      <c r="P965" s="362">
        <v>42642</v>
      </c>
    </row>
    <row r="966" spans="1:16" ht="14.25">
      <c r="A966" s="356">
        <v>2016</v>
      </c>
      <c r="B966" s="357" t="s">
        <v>476</v>
      </c>
      <c r="C966" s="357" t="s">
        <v>477</v>
      </c>
      <c r="D966" s="358">
        <v>1021011</v>
      </c>
      <c r="E966" s="358">
        <v>1</v>
      </c>
      <c r="F966" s="358"/>
      <c r="G966" s="358">
        <v>100</v>
      </c>
      <c r="H966" s="358" t="s">
        <v>34</v>
      </c>
      <c r="I966" s="358"/>
      <c r="J966" s="358" t="s">
        <v>35</v>
      </c>
      <c r="K966" s="359" t="b">
        <f t="shared" si="38"/>
        <v>1</v>
      </c>
      <c r="L966" s="359">
        <v>5</v>
      </c>
      <c r="M966" s="360">
        <v>2021</v>
      </c>
      <c r="N966" s="361">
        <v>0</v>
      </c>
      <c r="O966" s="362">
        <v>42642</v>
      </c>
      <c r="P966" s="362">
        <v>42642</v>
      </c>
    </row>
    <row r="967" spans="1:16" ht="14.25">
      <c r="A967" s="356">
        <v>2016</v>
      </c>
      <c r="B967" s="357" t="s">
        <v>476</v>
      </c>
      <c r="C967" s="357" t="s">
        <v>477</v>
      </c>
      <c r="D967" s="358">
        <v>1021011</v>
      </c>
      <c r="E967" s="358">
        <v>1</v>
      </c>
      <c r="F967" s="358"/>
      <c r="G967" s="358">
        <v>340</v>
      </c>
      <c r="H967" s="358">
        <v>5.2</v>
      </c>
      <c r="I967" s="358"/>
      <c r="J967" s="358" t="s">
        <v>105</v>
      </c>
      <c r="K967" s="359" t="b">
        <f aca="true" t="shared" si="39" ref="K967:K975">FALSE</f>
        <v>0</v>
      </c>
      <c r="L967" s="359">
        <v>6</v>
      </c>
      <c r="M967" s="360">
        <v>2022</v>
      </c>
      <c r="N967" s="361">
        <v>0</v>
      </c>
      <c r="O967" s="362">
        <v>42642</v>
      </c>
      <c r="P967" s="362">
        <v>42642</v>
      </c>
    </row>
    <row r="968" spans="1:16" ht="14.25">
      <c r="A968" s="356">
        <v>2016</v>
      </c>
      <c r="B968" s="357" t="s">
        <v>476</v>
      </c>
      <c r="C968" s="357" t="s">
        <v>477</v>
      </c>
      <c r="D968" s="358">
        <v>1021011</v>
      </c>
      <c r="E968" s="358">
        <v>1</v>
      </c>
      <c r="F968" s="358"/>
      <c r="G968" s="358">
        <v>340</v>
      </c>
      <c r="H968" s="358">
        <v>5.2</v>
      </c>
      <c r="I968" s="358"/>
      <c r="J968" s="358" t="s">
        <v>105</v>
      </c>
      <c r="K968" s="359" t="b">
        <f t="shared" si="39"/>
        <v>0</v>
      </c>
      <c r="L968" s="359">
        <v>3</v>
      </c>
      <c r="M968" s="360">
        <v>2019</v>
      </c>
      <c r="N968" s="361">
        <v>0</v>
      </c>
      <c r="O968" s="362">
        <v>42642</v>
      </c>
      <c r="P968" s="362">
        <v>42642</v>
      </c>
    </row>
    <row r="969" spans="1:16" ht="14.25">
      <c r="A969" s="356">
        <v>2016</v>
      </c>
      <c r="B969" s="357" t="s">
        <v>476</v>
      </c>
      <c r="C969" s="357" t="s">
        <v>477</v>
      </c>
      <c r="D969" s="358">
        <v>1021011</v>
      </c>
      <c r="E969" s="358">
        <v>1</v>
      </c>
      <c r="F969" s="358"/>
      <c r="G969" s="358">
        <v>340</v>
      </c>
      <c r="H969" s="358">
        <v>5.2</v>
      </c>
      <c r="I969" s="358"/>
      <c r="J969" s="358" t="s">
        <v>105</v>
      </c>
      <c r="K969" s="359" t="b">
        <f t="shared" si="39"/>
        <v>0</v>
      </c>
      <c r="L969" s="359">
        <v>4</v>
      </c>
      <c r="M969" s="360">
        <v>2020</v>
      </c>
      <c r="N969" s="361">
        <v>0</v>
      </c>
      <c r="O969" s="362">
        <v>42642</v>
      </c>
      <c r="P969" s="362">
        <v>42642</v>
      </c>
    </row>
    <row r="970" spans="1:16" ht="14.25">
      <c r="A970" s="356">
        <v>2016</v>
      </c>
      <c r="B970" s="357" t="s">
        <v>476</v>
      </c>
      <c r="C970" s="357" t="s">
        <v>477</v>
      </c>
      <c r="D970" s="358">
        <v>1021011</v>
      </c>
      <c r="E970" s="358">
        <v>1</v>
      </c>
      <c r="F970" s="358"/>
      <c r="G970" s="358">
        <v>340</v>
      </c>
      <c r="H970" s="358">
        <v>5.2</v>
      </c>
      <c r="I970" s="358"/>
      <c r="J970" s="358" t="s">
        <v>105</v>
      </c>
      <c r="K970" s="359" t="b">
        <f t="shared" si="39"/>
        <v>0</v>
      </c>
      <c r="L970" s="359">
        <v>2</v>
      </c>
      <c r="M970" s="360">
        <v>2018</v>
      </c>
      <c r="N970" s="361">
        <v>0</v>
      </c>
      <c r="O970" s="362">
        <v>42642</v>
      </c>
      <c r="P970" s="362">
        <v>42642</v>
      </c>
    </row>
    <row r="971" spans="1:16" ht="14.25">
      <c r="A971" s="356">
        <v>2016</v>
      </c>
      <c r="B971" s="357" t="s">
        <v>476</v>
      </c>
      <c r="C971" s="357" t="s">
        <v>477</v>
      </c>
      <c r="D971" s="358">
        <v>1021011</v>
      </c>
      <c r="E971" s="358">
        <v>1</v>
      </c>
      <c r="F971" s="358"/>
      <c r="G971" s="358">
        <v>340</v>
      </c>
      <c r="H971" s="358">
        <v>5.2</v>
      </c>
      <c r="I971" s="358"/>
      <c r="J971" s="358" t="s">
        <v>105</v>
      </c>
      <c r="K971" s="359" t="b">
        <f t="shared" si="39"/>
        <v>0</v>
      </c>
      <c r="L971" s="359">
        <v>5</v>
      </c>
      <c r="M971" s="360">
        <v>2021</v>
      </c>
      <c r="N971" s="361">
        <v>0</v>
      </c>
      <c r="O971" s="362">
        <v>42642</v>
      </c>
      <c r="P971" s="362">
        <v>42642</v>
      </c>
    </row>
    <row r="972" spans="1:16" ht="14.25">
      <c r="A972" s="356">
        <v>2016</v>
      </c>
      <c r="B972" s="357" t="s">
        <v>476</v>
      </c>
      <c r="C972" s="357" t="s">
        <v>477</v>
      </c>
      <c r="D972" s="358">
        <v>1021011</v>
      </c>
      <c r="E972" s="358">
        <v>1</v>
      </c>
      <c r="F972" s="358"/>
      <c r="G972" s="358">
        <v>340</v>
      </c>
      <c r="H972" s="358">
        <v>5.2</v>
      </c>
      <c r="I972" s="358"/>
      <c r="J972" s="358" t="s">
        <v>105</v>
      </c>
      <c r="K972" s="359" t="b">
        <f t="shared" si="39"/>
        <v>0</v>
      </c>
      <c r="L972" s="359">
        <v>7</v>
      </c>
      <c r="M972" s="360">
        <v>2023</v>
      </c>
      <c r="N972" s="361">
        <v>0</v>
      </c>
      <c r="O972" s="362">
        <v>42642</v>
      </c>
      <c r="P972" s="362">
        <v>42642</v>
      </c>
    </row>
    <row r="973" spans="1:16" ht="14.25">
      <c r="A973" s="356">
        <v>2016</v>
      </c>
      <c r="B973" s="357" t="s">
        <v>476</v>
      </c>
      <c r="C973" s="357" t="s">
        <v>477</v>
      </c>
      <c r="D973" s="358">
        <v>1021011</v>
      </c>
      <c r="E973" s="358">
        <v>1</v>
      </c>
      <c r="F973" s="358"/>
      <c r="G973" s="358">
        <v>340</v>
      </c>
      <c r="H973" s="358">
        <v>5.2</v>
      </c>
      <c r="I973" s="358"/>
      <c r="J973" s="358" t="s">
        <v>105</v>
      </c>
      <c r="K973" s="359" t="b">
        <f t="shared" si="39"/>
        <v>0</v>
      </c>
      <c r="L973" s="359">
        <v>8</v>
      </c>
      <c r="M973" s="360">
        <v>2024</v>
      </c>
      <c r="N973" s="361">
        <v>0</v>
      </c>
      <c r="O973" s="362">
        <v>42642</v>
      </c>
      <c r="P973" s="362">
        <v>42642</v>
      </c>
    </row>
    <row r="974" spans="1:16" ht="14.25">
      <c r="A974" s="356">
        <v>2016</v>
      </c>
      <c r="B974" s="357" t="s">
        <v>476</v>
      </c>
      <c r="C974" s="357" t="s">
        <v>477</v>
      </c>
      <c r="D974" s="358">
        <v>1021011</v>
      </c>
      <c r="E974" s="358">
        <v>1</v>
      </c>
      <c r="F974" s="358"/>
      <c r="G974" s="358">
        <v>340</v>
      </c>
      <c r="H974" s="358">
        <v>5.2</v>
      </c>
      <c r="I974" s="358"/>
      <c r="J974" s="358" t="s">
        <v>105</v>
      </c>
      <c r="K974" s="359" t="b">
        <f t="shared" si="39"/>
        <v>0</v>
      </c>
      <c r="L974" s="359">
        <v>0</v>
      </c>
      <c r="M974" s="360">
        <v>2016</v>
      </c>
      <c r="N974" s="361">
        <v>0</v>
      </c>
      <c r="O974" s="362">
        <v>42642</v>
      </c>
      <c r="P974" s="362">
        <v>42642</v>
      </c>
    </row>
    <row r="975" spans="1:16" ht="14.25">
      <c r="A975" s="356">
        <v>2016</v>
      </c>
      <c r="B975" s="357" t="s">
        <v>476</v>
      </c>
      <c r="C975" s="357" t="s">
        <v>477</v>
      </c>
      <c r="D975" s="358">
        <v>1021011</v>
      </c>
      <c r="E975" s="358">
        <v>1</v>
      </c>
      <c r="F975" s="358"/>
      <c r="G975" s="358">
        <v>340</v>
      </c>
      <c r="H975" s="358">
        <v>5.2</v>
      </c>
      <c r="I975" s="358"/>
      <c r="J975" s="358" t="s">
        <v>105</v>
      </c>
      <c r="K975" s="359" t="b">
        <f t="shared" si="39"/>
        <v>0</v>
      </c>
      <c r="L975" s="359">
        <v>1</v>
      </c>
      <c r="M975" s="360">
        <v>2017</v>
      </c>
      <c r="N975" s="361">
        <v>0</v>
      </c>
      <c r="O975" s="362">
        <v>42642</v>
      </c>
      <c r="P975" s="362">
        <v>42642</v>
      </c>
    </row>
    <row r="976" spans="1:16" ht="14.25">
      <c r="A976" s="356">
        <v>2016</v>
      </c>
      <c r="B976" s="357" t="s">
        <v>476</v>
      </c>
      <c r="C976" s="357" t="s">
        <v>477</v>
      </c>
      <c r="D976" s="358">
        <v>1021011</v>
      </c>
      <c r="E976" s="358">
        <v>1</v>
      </c>
      <c r="F976" s="358"/>
      <c r="G976" s="358">
        <v>332</v>
      </c>
      <c r="H976" s="358" t="s">
        <v>95</v>
      </c>
      <c r="I976" s="358"/>
      <c r="J976" s="358" t="s">
        <v>96</v>
      </c>
      <c r="K976" s="359" t="b">
        <f aca="true" t="shared" si="40" ref="K976:K984">TRUE</f>
        <v>1</v>
      </c>
      <c r="L976" s="359">
        <v>8</v>
      </c>
      <c r="M976" s="360">
        <v>2024</v>
      </c>
      <c r="N976" s="361">
        <v>0</v>
      </c>
      <c r="O976" s="362">
        <v>42642</v>
      </c>
      <c r="P976" s="362">
        <v>42642</v>
      </c>
    </row>
    <row r="977" spans="1:16" ht="14.25">
      <c r="A977" s="356">
        <v>2016</v>
      </c>
      <c r="B977" s="357" t="s">
        <v>476</v>
      </c>
      <c r="C977" s="357" t="s">
        <v>477</v>
      </c>
      <c r="D977" s="358">
        <v>1021011</v>
      </c>
      <c r="E977" s="358">
        <v>1</v>
      </c>
      <c r="F977" s="358"/>
      <c r="G977" s="358">
        <v>332</v>
      </c>
      <c r="H977" s="358" t="s">
        <v>95</v>
      </c>
      <c r="I977" s="358"/>
      <c r="J977" s="358" t="s">
        <v>96</v>
      </c>
      <c r="K977" s="359" t="b">
        <f t="shared" si="40"/>
        <v>1</v>
      </c>
      <c r="L977" s="359">
        <v>3</v>
      </c>
      <c r="M977" s="360">
        <v>2019</v>
      </c>
      <c r="N977" s="361">
        <v>0</v>
      </c>
      <c r="O977" s="362">
        <v>42642</v>
      </c>
      <c r="P977" s="362">
        <v>42642</v>
      </c>
    </row>
    <row r="978" spans="1:16" ht="14.25">
      <c r="A978" s="356">
        <v>2016</v>
      </c>
      <c r="B978" s="357" t="s">
        <v>476</v>
      </c>
      <c r="C978" s="357" t="s">
        <v>477</v>
      </c>
      <c r="D978" s="358">
        <v>1021011</v>
      </c>
      <c r="E978" s="358">
        <v>1</v>
      </c>
      <c r="F978" s="358"/>
      <c r="G978" s="358">
        <v>332</v>
      </c>
      <c r="H978" s="358" t="s">
        <v>95</v>
      </c>
      <c r="I978" s="358"/>
      <c r="J978" s="358" t="s">
        <v>96</v>
      </c>
      <c r="K978" s="359" t="b">
        <f t="shared" si="40"/>
        <v>1</v>
      </c>
      <c r="L978" s="359">
        <v>1</v>
      </c>
      <c r="M978" s="360">
        <v>2017</v>
      </c>
      <c r="N978" s="361">
        <v>0</v>
      </c>
      <c r="O978" s="362">
        <v>42642</v>
      </c>
      <c r="P978" s="362">
        <v>42642</v>
      </c>
    </row>
    <row r="979" spans="1:16" ht="14.25">
      <c r="A979" s="356">
        <v>2016</v>
      </c>
      <c r="B979" s="357" t="s">
        <v>476</v>
      </c>
      <c r="C979" s="357" t="s">
        <v>477</v>
      </c>
      <c r="D979" s="358">
        <v>1021011</v>
      </c>
      <c r="E979" s="358">
        <v>1</v>
      </c>
      <c r="F979" s="358"/>
      <c r="G979" s="358">
        <v>332</v>
      </c>
      <c r="H979" s="358" t="s">
        <v>95</v>
      </c>
      <c r="I979" s="358"/>
      <c r="J979" s="358" t="s">
        <v>96</v>
      </c>
      <c r="K979" s="359" t="b">
        <f t="shared" si="40"/>
        <v>1</v>
      </c>
      <c r="L979" s="359">
        <v>7</v>
      </c>
      <c r="M979" s="360">
        <v>2023</v>
      </c>
      <c r="N979" s="361">
        <v>0</v>
      </c>
      <c r="O979" s="362">
        <v>42642</v>
      </c>
      <c r="P979" s="362">
        <v>42642</v>
      </c>
    </row>
    <row r="980" spans="1:16" ht="14.25">
      <c r="A980" s="356">
        <v>2016</v>
      </c>
      <c r="B980" s="357" t="s">
        <v>476</v>
      </c>
      <c r="C980" s="357" t="s">
        <v>477</v>
      </c>
      <c r="D980" s="358">
        <v>1021011</v>
      </c>
      <c r="E980" s="358">
        <v>1</v>
      </c>
      <c r="F980" s="358"/>
      <c r="G980" s="358">
        <v>332</v>
      </c>
      <c r="H980" s="358" t="s">
        <v>95</v>
      </c>
      <c r="I980" s="358"/>
      <c r="J980" s="358" t="s">
        <v>96</v>
      </c>
      <c r="K980" s="359" t="b">
        <f t="shared" si="40"/>
        <v>1</v>
      </c>
      <c r="L980" s="359">
        <v>0</v>
      </c>
      <c r="M980" s="360">
        <v>2016</v>
      </c>
      <c r="N980" s="361">
        <v>0</v>
      </c>
      <c r="O980" s="362">
        <v>42642</v>
      </c>
      <c r="P980" s="362">
        <v>42642</v>
      </c>
    </row>
    <row r="981" spans="1:16" ht="14.25">
      <c r="A981" s="356">
        <v>2016</v>
      </c>
      <c r="B981" s="357" t="s">
        <v>476</v>
      </c>
      <c r="C981" s="357" t="s">
        <v>477</v>
      </c>
      <c r="D981" s="358">
        <v>1021011</v>
      </c>
      <c r="E981" s="358">
        <v>1</v>
      </c>
      <c r="F981" s="358"/>
      <c r="G981" s="358">
        <v>332</v>
      </c>
      <c r="H981" s="358" t="s">
        <v>95</v>
      </c>
      <c r="I981" s="358"/>
      <c r="J981" s="358" t="s">
        <v>96</v>
      </c>
      <c r="K981" s="359" t="b">
        <f t="shared" si="40"/>
        <v>1</v>
      </c>
      <c r="L981" s="359">
        <v>6</v>
      </c>
      <c r="M981" s="360">
        <v>2022</v>
      </c>
      <c r="N981" s="361">
        <v>0</v>
      </c>
      <c r="O981" s="362">
        <v>42642</v>
      </c>
      <c r="P981" s="362">
        <v>42642</v>
      </c>
    </row>
    <row r="982" spans="1:16" ht="14.25">
      <c r="A982" s="356">
        <v>2016</v>
      </c>
      <c r="B982" s="357" t="s">
        <v>476</v>
      </c>
      <c r="C982" s="357" t="s">
        <v>477</v>
      </c>
      <c r="D982" s="358">
        <v>1021011</v>
      </c>
      <c r="E982" s="358">
        <v>1</v>
      </c>
      <c r="F982" s="358"/>
      <c r="G982" s="358">
        <v>332</v>
      </c>
      <c r="H982" s="358" t="s">
        <v>95</v>
      </c>
      <c r="I982" s="358"/>
      <c r="J982" s="358" t="s">
        <v>96</v>
      </c>
      <c r="K982" s="359" t="b">
        <f t="shared" si="40"/>
        <v>1</v>
      </c>
      <c r="L982" s="359">
        <v>2</v>
      </c>
      <c r="M982" s="360">
        <v>2018</v>
      </c>
      <c r="N982" s="361">
        <v>0</v>
      </c>
      <c r="O982" s="362">
        <v>42642</v>
      </c>
      <c r="P982" s="362">
        <v>42642</v>
      </c>
    </row>
    <row r="983" spans="1:16" ht="14.25">
      <c r="A983" s="356">
        <v>2016</v>
      </c>
      <c r="B983" s="357" t="s">
        <v>476</v>
      </c>
      <c r="C983" s="357" t="s">
        <v>477</v>
      </c>
      <c r="D983" s="358">
        <v>1021011</v>
      </c>
      <c r="E983" s="358">
        <v>1</v>
      </c>
      <c r="F983" s="358"/>
      <c r="G983" s="358">
        <v>332</v>
      </c>
      <c r="H983" s="358" t="s">
        <v>95</v>
      </c>
      <c r="I983" s="358"/>
      <c r="J983" s="358" t="s">
        <v>96</v>
      </c>
      <c r="K983" s="359" t="b">
        <f t="shared" si="40"/>
        <v>1</v>
      </c>
      <c r="L983" s="359">
        <v>4</v>
      </c>
      <c r="M983" s="360">
        <v>2020</v>
      </c>
      <c r="N983" s="361">
        <v>0</v>
      </c>
      <c r="O983" s="362">
        <v>42642</v>
      </c>
      <c r="P983" s="362">
        <v>42642</v>
      </c>
    </row>
    <row r="984" spans="1:16" ht="14.25">
      <c r="A984" s="356">
        <v>2016</v>
      </c>
      <c r="B984" s="357" t="s">
        <v>476</v>
      </c>
      <c r="C984" s="357" t="s">
        <v>477</v>
      </c>
      <c r="D984" s="358">
        <v>1021011</v>
      </c>
      <c r="E984" s="358">
        <v>1</v>
      </c>
      <c r="F984" s="358"/>
      <c r="G984" s="358">
        <v>332</v>
      </c>
      <c r="H984" s="358" t="s">
        <v>95</v>
      </c>
      <c r="I984" s="358"/>
      <c r="J984" s="358" t="s">
        <v>96</v>
      </c>
      <c r="K984" s="359" t="b">
        <f t="shared" si="40"/>
        <v>1</v>
      </c>
      <c r="L984" s="359">
        <v>5</v>
      </c>
      <c r="M984" s="360">
        <v>2021</v>
      </c>
      <c r="N984" s="361">
        <v>0</v>
      </c>
      <c r="O984" s="362">
        <v>42642</v>
      </c>
      <c r="P984" s="362">
        <v>42642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2016-09-26T07:52:44Z</cp:lastPrinted>
  <dcterms:created xsi:type="dcterms:W3CDTF">2010-09-17T02:30:46Z</dcterms:created>
  <dcterms:modified xsi:type="dcterms:W3CDTF">2016-09-26T07:52:19Z</dcterms:modified>
  <cp:category/>
  <cp:version/>
  <cp:contentType/>
  <cp:contentStatus/>
  <cp:revision>1</cp:revision>
</cp:coreProperties>
</file>