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<sst xmlns="http://schemas.openxmlformats.org/spreadsheetml/2006/main" count="5590" uniqueCount="485">
  <si>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</si>
  <si>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</si>
  <si>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</si>
  <si>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>Załącznik Nr 1 do Uchwały Nr XLVI/324/2017          Rady Miasta Brzeziny z dnia 30 listopada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</si>
  <si>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</si>
  <si>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</si>
  <si>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</si>
  <si>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</si>
  <si>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</si>
  <si>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</si>
  <si>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</si>
  <si>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</si>
  <si>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</si>
  <si>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</si>
  <si>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</si>
  <si>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</si>
  <si>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</si>
  <si>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</si>
  <si>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</si>
  <si>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</si>
  <si>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</si>
  <si>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</si>
  <si>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</si>
  <si>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</si>
  <si>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</si>
  <si>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</si>
  <si>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</si>
  <si>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</si>
  <si>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</si>
  <si>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</si>
  <si>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</si>
  <si>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</si>
  <si>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</si>
  <si>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</si>
  <si>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</si>
  <si>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</si>
  <si>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</si>
  <si>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</si>
  <si>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</si>
  <si>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</si>
  <si>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</si>
  <si>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</si>
  <si>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</si>
  <si>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</si>
  <si>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</si>
  <si>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</si>
  <si>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</si>
  <si>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</si>
  <si>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</si>
  <si>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</si>
  <si>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</si>
  <si>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</si>
  <si>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</si>
  <si>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</si>
  <si>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</si>
  <si>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</si>
  <si>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</si>
  <si>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</si>
  <si>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</si>
  <si>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</si>
  <si>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</si>
  <si>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</si>
  <si>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</si>
  <si>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</si>
  <si>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</si>
  <si>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</si>
  <si>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</si>
  <si>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</si>
  <si>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</si>
  <si>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</si>
  <si>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</si>
  <si>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</si>
  <si>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</si>
  <si>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</si>
  <si>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</si>
  <si>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</si>
  <si>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</si>
  <si>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</si>
  <si>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</si>
  <si>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</si>
  <si>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</si>
  <si>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</si>
  <si>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</si>
  <si>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</si>
  <si>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</si>
  <si>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</si>
  <si>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</si>
  <si>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</si>
  <si>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</si>
  <si>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</si>
  <si>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</si>
  <si>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</si>
  <si>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</si>
  <si>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</si>
  <si>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</si>
  <si>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</si>
  <si>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</si>
  <si>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</si>
  <si>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</si>
  <si>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</si>
  <si>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</si>
  <si>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</si>
  <si>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</si>
  <si>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</si>
  <si>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</si>
  <si>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</si>
  <si>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</si>
  <si>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</si>
  <si>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</si>
  <si>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</si>
  <si>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</si>
  <si>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</si>
  <si>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</si>
  <si>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</si>
  <si>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</si>
  <si>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</si>
  <si>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</si>
  <si>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</si>
  <si>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</si>
  <si>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</si>
  <si>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</si>
  <si>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</si>
  <si>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</si>
  <si>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</si>
  <si>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</si>
  <si>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</si>
  <si>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</si>
  <si>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</si>
  <si>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</si>
  <si>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</si>
  <si>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</si>
  <si>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</si>
  <si>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</si>
  <si>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</si>
  <si>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</si>
  <si>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</si>
  <si>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</si>
  <si>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</si>
  <si>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</si>
  <si>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</si>
  <si>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</si>
  <si>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</si>
  <si>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</si>
  <si>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</si>
  <si>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</si>
  <si>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</si>
  <si>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</si>
  <si>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</si>
  <si>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</si>
  <si>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</si>
  <si>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</si>
  <si>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</si>
  <si>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</si>
  <si>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</si>
  <si>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</si>
  <si>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</si>
  <si>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</si>
  <si>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</si>
  <si>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</si>
  <si>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</si>
  <si>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</si>
  <si>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</si>
  <si>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</si>
  <si>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</si>
  <si>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</si>
  <si>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</si>
  <si>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</si>
  <si>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</si>
  <si>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</si>
  <si>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</si>
  <si>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</si>
  <si>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</si>
  <si>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</si>
  <si>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</si>
  <si>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</si>
  <si>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</si>
  <si>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</si>
  <si>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</si>
  <si>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</si>
  <si>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</si>
  <si>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</si>
  <si>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</si>
  <si>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</si>
  <si>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</si>
  <si>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</si>
  <si>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</si>
  <si>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</si>
  <si>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</si>
  <si>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</si>
  <si>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</si>
  <si>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</si>
  <si>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</si>
  <si>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</si>
  <si>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</si>
  <si>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</si>
  <si>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</si>
  <si>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</si>
  <si>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</si>
  <si>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</si>
  <si>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</si>
  <si>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</si>
  <si>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</si>
  <si>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</si>
  <si>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</si>
  <si>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</si>
  <si>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</si>
  <si>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</si>
  <si>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</si>
  <si>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</si>
  <si>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</si>
  <si>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</si>
  <si>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</si>
  <si>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</si>
  <si>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</si>
  <si>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</si>
  <si>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</si>
  <si>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</si>
  <si>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</si>
  <si>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</si>
  <si>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</si>
  <si>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</si>
  <si>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</si>
  <si>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</si>
  <si>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</si>
  <si>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</si>
  <si>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</si>
  <si>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</si>
  <si>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</si>
  <si>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</si>
  <si>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</si>
  <si>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</si>
  <si>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</si>
  <si>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</si>
  <si>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</si>
  <si>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</si>
  <si>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</si>
  <si>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</si>
  <si>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</si>
  <si>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</si>
  <si>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</si>
  <si>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</si>
  <si>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</si>
  <si>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</si>
  <si>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</si>
  <si>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</si>
  <si>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</si>
  <si>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</si>
  <si>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</si>
  <si>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</si>
  <si>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</si>
  <si>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</si>
  <si>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</si>
  <si>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</si>
  <si>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</si>
  <si>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</si>
  <si>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</si>
  <si>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</si>
  <si>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</si>
  <si>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</si>
  <si>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</si>
  <si>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</si>
  <si>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</si>
  <si>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</si>
  <si>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</si>
  <si>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</si>
  <si>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</si>
  <si>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</si>
  <si>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</si>
  <si>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</si>
  <si>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</si>
  <si>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</si>
  <si>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</si>
  <si>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</si>
  <si>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</si>
  <si>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</si>
  <si>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</si>
  <si>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</si>
  <si>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</si>
  <si>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</si>
  <si>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</si>
  <si>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</si>
  <si>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</si>
  <si>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</si>
  <si>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</si>
  <si>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</si>
  <si>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</si>
  <si>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</si>
  <si>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</si>
  <si>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</si>
  <si>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</si>
  <si>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</si>
  <si>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</si>
  <si>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</si>
  <si>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</si>
  <si>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</si>
  <si>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</si>
  <si>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</si>
  <si>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</si>
  <si>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</si>
  <si>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</si>
  <si>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</si>
  <si>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</si>
  <si>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</si>
  <si>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</si>
  <si>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</si>
  <si>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</si>
  <si>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</si>
  <si>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</si>
  <si>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</si>
  <si>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</si>
  <si>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</si>
  <si>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</si>
  <si>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</si>
  <si>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</si>
  <si>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</si>
  <si>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</si>
  <si>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</si>
  <si>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</si>
  <si>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</si>
  <si>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</si>
  <si>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</si>
  <si>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</si>
  <si>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</si>
  <si>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</si>
  <si>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</si>
  <si>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</si>
  <si>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</si>
  <si>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</si>
  <si>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</si>
  <si>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</si>
  <si>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</si>
  <si>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</si>
  <si>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</si>
  <si>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</si>
  <si>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</si>
  <si>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</si>
  <si>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</si>
  <si>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</si>
  <si>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</si>
  <si>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</si>
  <si>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</si>
  <si>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</si>
  <si>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</si>
  <si>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</si>
  <si>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</si>
  <si>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</si>
  <si>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</si>
  <si>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</si>
  <si>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</si>
  <si>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</si>
  <si>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</si>
  <si>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</si>
  <si>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</si>
  <si>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</si>
  <si>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</si>
  <si>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</si>
  <si>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</si>
  <si>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</si>
  <si>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</si>
  <si>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</si>
  <si>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</si>
  <si>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</si>
  <si>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</si>
  <si>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</si>
  <si>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</si>
  <si>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</si>
  <si>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</si>
  <si>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</si>
  <si>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</si>
  <si>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</si>
  <si>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</si>
  <si>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</si>
  <si>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</si>
  <si>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</si>
  <si>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</si>
  <si>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</si>
  <si>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</si>
  <si>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</si>
  <si>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</si>
  <si>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</si>
  <si>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</si>
  <si>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</si>
  <si>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</si>
  <si>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</si>
  <si>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</si>
  <si>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</si>
  <si>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</si>
  <si>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</si>
  <si>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</si>
  <si>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</si>
  <si>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</si>
  <si>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</si>
  <si>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</si>
  <si>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</si>
  <si>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</si>
  <si>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</si>
  <si>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</si>
  <si>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</si>
  <si>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</si>
  <si>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</si>
  <si>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</si>
  <si>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</si>
  <si>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</si>
  <si>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</si>
  <si>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</si>
  <si>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</si>
  <si>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</si>
  <si>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</si>
  <si>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</si>
  <si>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</si>
  <si>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</si>
  <si>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</si>
  <si>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</si>
  <si>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</si>
  <si>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</si>
  <si>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</si>
  <si>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</si>
  <si>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</si>
  <si>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</si>
  <si>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</si>
  <si>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</si>
  <si>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</si>
  <si>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</si>
  <si>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</si>
  <si>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</si>
  <si>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</si>
  <si>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</si>
  <si>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</si>
  <si>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</si>
  <si>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</si>
  <si>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</si>
  <si>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</si>
  <si>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</si>
  <si>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</si>
  <si>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</si>
  <si>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</si>
  <si>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</si>
  <si>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</si>
  <si>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</si>
  <si>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</si>
  <si>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</si>
  <si>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</si>
  <si>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</si>
  <si>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</si>
  <si>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</si>
  <si>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</si>
  <si>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</si>
  <si>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</si>
  <si>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</si>
  <si>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</si>
  <si>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</si>
  <si>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</si>
  <si>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</si>
  <si>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</si>
  <si>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</si>
  <si>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</si>
  <si>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</si>
  <si>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</si>
  <si>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</si>
  <si>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</si>
  <si>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</si>
  <si>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</si>
  <si>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</si>
  <si>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</si>
  <si>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</si>
  <si>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</si>
  <si>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</si>
  <si>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</si>
  <si>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</si>
  <si>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</si>
  <si>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</si>
  <si>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</si>
  <si>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</si>
  <si>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</si>
  <si>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</si>
  <si>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30.11.2017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</si>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</sst>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66470005"/>
        <c:axId val="61359134"/>
      </c:lineChart>
      <c:date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59134"/>
        <c:crossesAt val="0"/>
        <c:auto val="0"/>
        <c:noMultiLvlLbl val="0"/>
      </c:date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000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61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0245727"/>
        <c:axId val="25102680"/>
      </c:lineChart>
      <c:date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2680"/>
        <c:crossesAt val="0"/>
        <c:auto val="0"/>
        <c:noMultiLvlLbl val="0"/>
      </c:date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457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4597529"/>
        <c:axId val="20051170"/>
      </c:lineChart>
      <c:date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0"/>
        <c:auto val="0"/>
        <c:noMultiLvlLbl val="0"/>
      </c:date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975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675"/>
          <c:y val="0.070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46242803"/>
        <c:axId val="13532044"/>
      </c:lineChart>
      <c:date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32044"/>
        <c:crossesAt val="0"/>
        <c:auto val="0"/>
        <c:noMultiLvlLbl val="0"/>
      </c:date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7025"/>
          <c:w val="0.863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5361295"/>
        <c:axId val="4033928"/>
      </c:barChart>
      <c:date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3928"/>
        <c:crossesAt val="0"/>
        <c:auto val="0"/>
        <c:noMultiLvlLbl val="0"/>
      </c:date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6129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575"/>
          <c:y val="0.07025"/>
          <c:w val="0.458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6305353"/>
        <c:axId val="58312722"/>
      </c:barChart>
      <c:date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At val="0"/>
        <c:auto val="0"/>
        <c:noMultiLvlLbl val="0"/>
      </c:date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0535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07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005"/>
          <c:w val="0.925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55052451"/>
        <c:axId val="25710012"/>
      </c:lineChart>
      <c:date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At val="0"/>
        <c:auto val="0"/>
        <c:noMultiLvlLbl val="0"/>
      </c:date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5245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07"/>
          <c:w val="0.796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30063517"/>
        <c:axId val="2136198"/>
      </c:lineChart>
      <c:date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198"/>
        <c:crossesAt val="0"/>
        <c:auto val="0"/>
        <c:noMultiLvlLbl val="0"/>
      </c:date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07"/>
          <c:w val="0.894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45"/>
          <c:w val="0.925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19225783"/>
        <c:axId val="38814320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19225783"/>
        <c:axId val="38814320"/>
      </c:lineChart>
      <c:date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4320"/>
        <c:crossesAt val="0"/>
        <c:auto val="0"/>
        <c:noMultiLvlLbl val="0"/>
      </c:date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2578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79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3784561"/>
        <c:axId val="56952186"/>
      </c:lineChart>
      <c:date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52186"/>
        <c:crossesAt val="0"/>
        <c:auto val="0"/>
        <c:noMultiLvlLbl val="0"/>
      </c:date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456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5"/>
          <c:w val="0.92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42807627"/>
        <c:axId val="49724324"/>
      </c:lineChart>
      <c:date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4324"/>
        <c:crossesAt val="0"/>
        <c:auto val="0"/>
        <c:noMultiLvlLbl val="0"/>
      </c:date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076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8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44865733"/>
        <c:axId val="1138414"/>
      </c:lineChart>
      <c:date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8414"/>
        <c:crossesAt val="0"/>
        <c:auto val="0"/>
        <c:noMultiLvlLbl val="0"/>
      </c:date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57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06975"/>
          <c:w val="0.511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790575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790575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600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790575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600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28575" y="6267450"/>
        <a:ext cx="56102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800100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790575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47711301.86</f>
        <v>47711301.86</v>
      </c>
      <c r="J3" s="27">
        <f>52024012.54</f>
        <v>52024012.54</v>
      </c>
      <c r="K3" s="27">
        <f>46173704.15</f>
        <v>46173704.15</v>
      </c>
      <c r="L3" s="27">
        <f>47617916.14</f>
        <v>47617916.14</v>
      </c>
      <c r="M3" s="27">
        <f>51977629.81</f>
        <v>51977629.81</v>
      </c>
      <c r="N3" s="27">
        <f aca="true" t="shared" si="0" ref="N3:N4">51000000</f>
        <v>51000000</v>
      </c>
      <c r="O3" s="27">
        <f aca="true" t="shared" si="1" ref="O3:O4">53000000</f>
        <v>53000000</v>
      </c>
      <c r="P3" s="27">
        <f aca="true" t="shared" si="2" ref="P3:P4">55000000</f>
        <v>55000000</v>
      </c>
      <c r="Q3" s="27">
        <f aca="true" t="shared" si="3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43573274.52</f>
        <v>43573274.52</v>
      </c>
      <c r="J4" s="36">
        <f>43036481.15</f>
        <v>43036481.15</v>
      </c>
      <c r="K4" s="36">
        <f>45000000</f>
        <v>45000000</v>
      </c>
      <c r="L4" s="36">
        <f>47000000</f>
        <v>47000000</v>
      </c>
      <c r="M4" s="36">
        <f>49000000</f>
        <v>49000000</v>
      </c>
      <c r="N4" s="36">
        <f t="shared" si="0"/>
        <v>51000000</v>
      </c>
      <c r="O4" s="36">
        <f t="shared" si="1"/>
        <v>53000000</v>
      </c>
      <c r="P4" s="36">
        <f t="shared" si="2"/>
        <v>55000000</v>
      </c>
      <c r="Q4" s="36">
        <f t="shared" si="3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4" ref="M5:M10">0</f>
        <v>0</v>
      </c>
      <c r="N5" s="36">
        <f aca="true" t="shared" si="5" ref="N5:N13">0</f>
        <v>0</v>
      </c>
      <c r="O5" s="36">
        <f aca="true" t="shared" si="6" ref="O5:O13">0</f>
        <v>0</v>
      </c>
      <c r="P5" s="36">
        <f aca="true" t="shared" si="7" ref="P5:P13">0</f>
        <v>0</v>
      </c>
      <c r="Q5" s="36">
        <f aca="true" t="shared" si="8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4"/>
        <v>0</v>
      </c>
      <c r="N6" s="36">
        <f t="shared" si="5"/>
        <v>0</v>
      </c>
      <c r="O6" s="36">
        <f t="shared" si="6"/>
        <v>0</v>
      </c>
      <c r="P6" s="36">
        <f t="shared" si="7"/>
        <v>0</v>
      </c>
      <c r="Q6" s="36">
        <f t="shared" si="8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8086300.76</f>
        <v>8086300.76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4"/>
        <v>0</v>
      </c>
      <c r="N7" s="36">
        <f t="shared" si="5"/>
        <v>0</v>
      </c>
      <c r="O7" s="36">
        <f t="shared" si="6"/>
        <v>0</v>
      </c>
      <c r="P7" s="36">
        <f t="shared" si="7"/>
        <v>0</v>
      </c>
      <c r="Q7" s="36">
        <f t="shared" si="8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4880000</f>
        <v>4880000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4"/>
        <v>0</v>
      </c>
      <c r="N8" s="36">
        <f t="shared" si="5"/>
        <v>0</v>
      </c>
      <c r="O8" s="36">
        <f t="shared" si="6"/>
        <v>0</v>
      </c>
      <c r="P8" s="36">
        <f t="shared" si="7"/>
        <v>0</v>
      </c>
      <c r="Q8" s="36">
        <f t="shared" si="8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8611016</f>
        <v>8611016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4"/>
        <v>0</v>
      </c>
      <c r="N9" s="36">
        <f t="shared" si="5"/>
        <v>0</v>
      </c>
      <c r="O9" s="36">
        <f t="shared" si="6"/>
        <v>0</v>
      </c>
      <c r="P9" s="36">
        <f t="shared" si="7"/>
        <v>0</v>
      </c>
      <c r="Q9" s="36">
        <f t="shared" si="8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14873830.76</f>
        <v>14873830.76</v>
      </c>
      <c r="J10" s="36">
        <f>14536481.15</f>
        <v>14536481.15</v>
      </c>
      <c r="K10" s="36">
        <f>15000000</f>
        <v>15000000</v>
      </c>
      <c r="L10" s="36">
        <f>15500000</f>
        <v>15500000</v>
      </c>
      <c r="M10" s="36">
        <f t="shared" si="4"/>
        <v>0</v>
      </c>
      <c r="N10" s="36">
        <f t="shared" si="5"/>
        <v>0</v>
      </c>
      <c r="O10" s="36">
        <f t="shared" si="6"/>
        <v>0</v>
      </c>
      <c r="P10" s="36">
        <f t="shared" si="7"/>
        <v>0</v>
      </c>
      <c r="Q10" s="36">
        <f t="shared" si="8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4138027.34</f>
        <v>4138027.34</v>
      </c>
      <c r="J11" s="36">
        <f>8987531.39</f>
        <v>8987531.39</v>
      </c>
      <c r="K11" s="36">
        <f>1173704.15</f>
        <v>1173704.15</v>
      </c>
      <c r="L11" s="36">
        <f>617916.14</f>
        <v>617916.14</v>
      </c>
      <c r="M11" s="36">
        <f>2977629.81</f>
        <v>2977629.81</v>
      </c>
      <c r="N11" s="36">
        <f t="shared" si="5"/>
        <v>0</v>
      </c>
      <c r="O11" s="36">
        <f t="shared" si="6"/>
        <v>0</v>
      </c>
      <c r="P11" s="36">
        <f t="shared" si="7"/>
        <v>0</v>
      </c>
      <c r="Q11" s="36">
        <f t="shared" si="8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158682</f>
        <v>158682</v>
      </c>
      <c r="J12" s="36">
        <f>4950000</f>
        <v>4950000</v>
      </c>
      <c r="K12" s="36">
        <f>0</f>
        <v>0</v>
      </c>
      <c r="L12" s="36">
        <f>0</f>
        <v>0</v>
      </c>
      <c r="M12" s="36">
        <f>0</f>
        <v>0</v>
      </c>
      <c r="N12" s="36">
        <f t="shared" si="5"/>
        <v>0</v>
      </c>
      <c r="O12" s="36">
        <f t="shared" si="6"/>
        <v>0</v>
      </c>
      <c r="P12" s="36">
        <f t="shared" si="7"/>
        <v>0</v>
      </c>
      <c r="Q12" s="36">
        <f t="shared" si="8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3969345.34</f>
        <v>3969345.34</v>
      </c>
      <c r="J13" s="36">
        <f>4037531.39</f>
        <v>4037531.39</v>
      </c>
      <c r="K13" s="36">
        <f>1173704.15</f>
        <v>1173704.15</v>
      </c>
      <c r="L13" s="36">
        <f>617916.14</f>
        <v>617916.14</v>
      </c>
      <c r="M13" s="36">
        <f>2977629.81</f>
        <v>2977629.81</v>
      </c>
      <c r="N13" s="36">
        <f t="shared" si="5"/>
        <v>0</v>
      </c>
      <c r="O13" s="36">
        <f t="shared" si="6"/>
        <v>0</v>
      </c>
      <c r="P13" s="36">
        <f t="shared" si="7"/>
        <v>0</v>
      </c>
      <c r="Q13" s="36">
        <f t="shared" si="8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48930771.86</f>
        <v>48930771.86</v>
      </c>
      <c r="J14" s="27">
        <f>50345808.54</f>
        <v>50345808.54</v>
      </c>
      <c r="K14" s="27">
        <f>44313700.15</f>
        <v>44313700.15</v>
      </c>
      <c r="L14" s="27">
        <f>45407912.14</f>
        <v>45407912.14</v>
      </c>
      <c r="M14" s="27">
        <f>49767625.81</f>
        <v>49767625.81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42006899.07</f>
        <v>42006899.07</v>
      </c>
      <c r="J15" s="36">
        <f>39358277.15</f>
        <v>39358277.15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9" ref="E16:E18">0</f>
        <v>0</v>
      </c>
      <c r="F16" s="33">
        <f aca="true" t="shared" si="10" ref="F16:F18">0</f>
        <v>0</v>
      </c>
      <c r="G16" s="33">
        <f>38500</f>
        <v>38500</v>
      </c>
      <c r="H16" s="34">
        <f aca="true" t="shared" si="11" ref="H16:H18">0</f>
        <v>0</v>
      </c>
      <c r="I16" s="35">
        <f>9500</f>
        <v>9500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9"/>
        <v>0</v>
      </c>
      <c r="F17" s="33">
        <f t="shared" si="10"/>
        <v>0</v>
      </c>
      <c r="G17" s="33">
        <f aca="true" t="shared" si="12" ref="G17:G18">0</f>
        <v>0</v>
      </c>
      <c r="H17" s="34">
        <f t="shared" si="11"/>
        <v>0</v>
      </c>
      <c r="I17" s="35">
        <f aca="true" t="shared" si="13" ref="I17:I18">0</f>
        <v>0</v>
      </c>
      <c r="J17" s="36">
        <f aca="true" t="shared" si="14" ref="J17:J18">0</f>
        <v>0</v>
      </c>
      <c r="K17" s="36">
        <f aca="true" t="shared" si="15" ref="K17:K18">0</f>
        <v>0</v>
      </c>
      <c r="L17" s="36">
        <f aca="true" t="shared" si="16" ref="L17:L18">0</f>
        <v>0</v>
      </c>
      <c r="M17" s="36">
        <f aca="true" t="shared" si="17" ref="M17:M18">0</f>
        <v>0</v>
      </c>
      <c r="N17" s="36">
        <f aca="true" t="shared" si="18" ref="N17:N18">0</f>
        <v>0</v>
      </c>
      <c r="O17" s="36">
        <f aca="true" t="shared" si="19" ref="O17:O18">0</f>
        <v>0</v>
      </c>
      <c r="P17" s="36">
        <f aca="true" t="shared" si="20" ref="P17:P18">0</f>
        <v>0</v>
      </c>
      <c r="Q17" s="36">
        <f aca="true" t="shared" si="21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9"/>
        <v>0</v>
      </c>
      <c r="F18" s="33">
        <f t="shared" si="10"/>
        <v>0</v>
      </c>
      <c r="G18" s="33">
        <f t="shared" si="12"/>
        <v>0</v>
      </c>
      <c r="H18" s="34">
        <f t="shared" si="11"/>
        <v>0</v>
      </c>
      <c r="I18" s="35">
        <f t="shared" si="13"/>
        <v>0</v>
      </c>
      <c r="J18" s="36">
        <f t="shared" si="14"/>
        <v>0</v>
      </c>
      <c r="K18" s="36">
        <f t="shared" si="15"/>
        <v>0</v>
      </c>
      <c r="L18" s="36">
        <f t="shared" si="16"/>
        <v>0</v>
      </c>
      <c r="M18" s="36">
        <f t="shared" si="17"/>
        <v>0</v>
      </c>
      <c r="N18" s="36">
        <f t="shared" si="18"/>
        <v>0</v>
      </c>
      <c r="O18" s="36">
        <f t="shared" si="19"/>
        <v>0</v>
      </c>
      <c r="P18" s="36">
        <f t="shared" si="20"/>
        <v>0</v>
      </c>
      <c r="Q18" s="36">
        <f t="shared" si="21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2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3" ref="H19:H20">479637.86</f>
        <v>479637.86</v>
      </c>
      <c r="I19" s="35">
        <f>463500</f>
        <v>463500</v>
      </c>
      <c r="J19" s="36">
        <f aca="true" t="shared" si="24" ref="J19:J20">450000</f>
        <v>450000</v>
      </c>
      <c r="K19" s="36">
        <f aca="true" t="shared" si="25" ref="K19:K20">430000</f>
        <v>430000</v>
      </c>
      <c r="L19" s="36">
        <f aca="true" t="shared" si="26" ref="L19:L20">380000</f>
        <v>380000</v>
      </c>
      <c r="M19" s="36">
        <f aca="true" t="shared" si="27" ref="M19:M20">300000</f>
        <v>300000</v>
      </c>
      <c r="N19" s="36">
        <f aca="true" t="shared" si="28" ref="N19:N20">210000</f>
        <v>210000</v>
      </c>
      <c r="O19" s="36">
        <f aca="true" t="shared" si="29" ref="O19:O20">130000</f>
        <v>130000</v>
      </c>
      <c r="P19" s="36">
        <f aca="true" t="shared" si="30" ref="P19:P20">40000</f>
        <v>40000</v>
      </c>
      <c r="Q19" s="36">
        <f t="shared" si="21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2"/>
        <v>563582.46</v>
      </c>
      <c r="F20" s="33">
        <f>443191.95</f>
        <v>443191.95</v>
      </c>
      <c r="G20" s="33">
        <f>470000</f>
        <v>470000</v>
      </c>
      <c r="H20" s="34">
        <f t="shared" si="23"/>
        <v>479637.86</v>
      </c>
      <c r="I20" s="35">
        <f>458500</f>
        <v>458500</v>
      </c>
      <c r="J20" s="36">
        <f t="shared" si="24"/>
        <v>450000</v>
      </c>
      <c r="K20" s="36">
        <f t="shared" si="25"/>
        <v>430000</v>
      </c>
      <c r="L20" s="36">
        <f t="shared" si="26"/>
        <v>380000</v>
      </c>
      <c r="M20" s="36">
        <f t="shared" si="27"/>
        <v>300000</v>
      </c>
      <c r="N20" s="36">
        <f t="shared" si="28"/>
        <v>210000</v>
      </c>
      <c r="O20" s="36">
        <f t="shared" si="29"/>
        <v>130000</v>
      </c>
      <c r="P20" s="36">
        <f t="shared" si="30"/>
        <v>40000</v>
      </c>
      <c r="Q20" s="36">
        <f t="shared" si="21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t="shared" si="21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21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6923872.79</f>
        <v>6923872.79</v>
      </c>
      <c r="J23" s="36">
        <f>10987531.39</f>
        <v>10987531.39</v>
      </c>
      <c r="K23" s="36">
        <f>4913700.15</f>
        <v>4913700.15</v>
      </c>
      <c r="L23" s="36">
        <f>5507912.14</f>
        <v>5507912.14</v>
      </c>
      <c r="M23" s="36">
        <f>9367625.81</f>
        <v>9367625.81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3" ref="J25:J33">0</f>
        <v>0</v>
      </c>
      <c r="K25" s="27">
        <f aca="true" t="shared" si="44" ref="K25:K33">0</f>
        <v>0</v>
      </c>
      <c r="L25" s="27">
        <f aca="true" t="shared" si="45" ref="L25:L33">0</f>
        <v>0</v>
      </c>
      <c r="M25" s="27">
        <f aca="true" t="shared" si="46" ref="M25:M33">0</f>
        <v>0</v>
      </c>
      <c r="N25" s="27">
        <f aca="true" t="shared" si="47" ref="N25:N33">0</f>
        <v>0</v>
      </c>
      <c r="O25" s="27">
        <f aca="true" t="shared" si="48" ref="O25:O33">0</f>
        <v>0</v>
      </c>
      <c r="P25" s="27">
        <f aca="true" t="shared" si="49" ref="P25:P33">0</f>
        <v>0</v>
      </c>
      <c r="Q25" s="27">
        <f aca="true" t="shared" si="50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1" ref="E26:E27">0</f>
        <v>0</v>
      </c>
      <c r="F26" s="33">
        <f aca="true" t="shared" si="52" ref="F26:F27">0</f>
        <v>0</v>
      </c>
      <c r="G26" s="33">
        <f aca="true" t="shared" si="53" ref="G26:G27">0</f>
        <v>0</v>
      </c>
      <c r="H26" s="34">
        <f aca="true" t="shared" si="54" ref="H26:H27">0</f>
        <v>0</v>
      </c>
      <c r="I26" s="35">
        <f aca="true" t="shared" si="55" ref="I26:I27">0</f>
        <v>0</v>
      </c>
      <c r="J26" s="36">
        <f t="shared" si="43"/>
        <v>0</v>
      </c>
      <c r="K26" s="36">
        <f t="shared" si="44"/>
        <v>0</v>
      </c>
      <c r="L26" s="36">
        <f t="shared" si="45"/>
        <v>0</v>
      </c>
      <c r="M26" s="36">
        <f t="shared" si="46"/>
        <v>0</v>
      </c>
      <c r="N26" s="36">
        <f t="shared" si="47"/>
        <v>0</v>
      </c>
      <c r="O26" s="36">
        <f t="shared" si="48"/>
        <v>0</v>
      </c>
      <c r="P26" s="36">
        <f t="shared" si="49"/>
        <v>0</v>
      </c>
      <c r="Q26" s="36">
        <f t="shared" si="50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1"/>
        <v>0</v>
      </c>
      <c r="F27" s="33">
        <f t="shared" si="52"/>
        <v>0</v>
      </c>
      <c r="G27" s="33">
        <f t="shared" si="53"/>
        <v>0</v>
      </c>
      <c r="H27" s="34">
        <f t="shared" si="54"/>
        <v>0</v>
      </c>
      <c r="I27" s="35">
        <f t="shared" si="55"/>
        <v>0</v>
      </c>
      <c r="J27" s="36">
        <f t="shared" si="43"/>
        <v>0</v>
      </c>
      <c r="K27" s="36">
        <f t="shared" si="44"/>
        <v>0</v>
      </c>
      <c r="L27" s="36">
        <f t="shared" si="45"/>
        <v>0</v>
      </c>
      <c r="M27" s="36">
        <f t="shared" si="46"/>
        <v>0</v>
      </c>
      <c r="N27" s="36">
        <f t="shared" si="47"/>
        <v>0</v>
      </c>
      <c r="O27" s="36">
        <f t="shared" si="48"/>
        <v>0</v>
      </c>
      <c r="P27" s="36">
        <f t="shared" si="49"/>
        <v>0</v>
      </c>
      <c r="Q27" s="36">
        <f t="shared" si="50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56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3"/>
        <v>0</v>
      </c>
      <c r="K28" s="36">
        <f t="shared" si="44"/>
        <v>0</v>
      </c>
      <c r="L28" s="36">
        <f t="shared" si="45"/>
        <v>0</v>
      </c>
      <c r="M28" s="36">
        <f t="shared" si="46"/>
        <v>0</v>
      </c>
      <c r="N28" s="36">
        <f t="shared" si="47"/>
        <v>0</v>
      </c>
      <c r="O28" s="36">
        <f t="shared" si="48"/>
        <v>0</v>
      </c>
      <c r="P28" s="36">
        <f t="shared" si="49"/>
        <v>0</v>
      </c>
      <c r="Q28" s="36">
        <f t="shared" si="50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56"/>
        <v>2502437.51</v>
      </c>
      <c r="F29" s="33">
        <f>2573759.75</f>
        <v>2573759.75</v>
      </c>
      <c r="G29" s="33">
        <f>1188216.38</f>
        <v>1188216.38</v>
      </c>
      <c r="H29" s="34">
        <f aca="true" t="shared" si="57" ref="H29:H33">0</f>
        <v>0</v>
      </c>
      <c r="I29" s="35">
        <f>934153.21</f>
        <v>934153.21</v>
      </c>
      <c r="J29" s="36">
        <f t="shared" si="43"/>
        <v>0</v>
      </c>
      <c r="K29" s="36">
        <f t="shared" si="44"/>
        <v>0</v>
      </c>
      <c r="L29" s="36">
        <f t="shared" si="45"/>
        <v>0</v>
      </c>
      <c r="M29" s="36">
        <f t="shared" si="46"/>
        <v>0</v>
      </c>
      <c r="N29" s="36">
        <f t="shared" si="47"/>
        <v>0</v>
      </c>
      <c r="O29" s="36">
        <f t="shared" si="48"/>
        <v>0</v>
      </c>
      <c r="P29" s="36">
        <f t="shared" si="49"/>
        <v>0</v>
      </c>
      <c r="Q29" s="36">
        <f t="shared" si="50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58" ref="G30:G31">815692</f>
        <v>815692</v>
      </c>
      <c r="H30" s="34">
        <f t="shared" si="57"/>
        <v>0</v>
      </c>
      <c r="I30" s="35">
        <f aca="true" t="shared" si="59" ref="I30:I31">285316.79</f>
        <v>285316.79</v>
      </c>
      <c r="J30" s="36">
        <f t="shared" si="43"/>
        <v>0</v>
      </c>
      <c r="K30" s="36">
        <f t="shared" si="44"/>
        <v>0</v>
      </c>
      <c r="L30" s="36">
        <f t="shared" si="45"/>
        <v>0</v>
      </c>
      <c r="M30" s="36">
        <f t="shared" si="46"/>
        <v>0</v>
      </c>
      <c r="N30" s="36">
        <f t="shared" si="47"/>
        <v>0</v>
      </c>
      <c r="O30" s="36">
        <f t="shared" si="48"/>
        <v>0</v>
      </c>
      <c r="P30" s="36">
        <f t="shared" si="49"/>
        <v>0</v>
      </c>
      <c r="Q30" s="36">
        <f t="shared" si="50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aca="true" t="shared" si="61" ref="F31:F33">0</f>
        <v>0</v>
      </c>
      <c r="G31" s="33">
        <f t="shared" si="58"/>
        <v>815692</v>
      </c>
      <c r="H31" s="34">
        <f t="shared" si="57"/>
        <v>0</v>
      </c>
      <c r="I31" s="35">
        <f t="shared" si="59"/>
        <v>285316.79</v>
      </c>
      <c r="J31" s="36">
        <f t="shared" si="43"/>
        <v>0</v>
      </c>
      <c r="K31" s="36">
        <f t="shared" si="44"/>
        <v>0</v>
      </c>
      <c r="L31" s="36">
        <f t="shared" si="45"/>
        <v>0</v>
      </c>
      <c r="M31" s="36">
        <f t="shared" si="46"/>
        <v>0</v>
      </c>
      <c r="N31" s="36">
        <f t="shared" si="47"/>
        <v>0</v>
      </c>
      <c r="O31" s="36">
        <f t="shared" si="48"/>
        <v>0</v>
      </c>
      <c r="P31" s="36">
        <f t="shared" si="49"/>
        <v>0</v>
      </c>
      <c r="Q31" s="36">
        <f t="shared" si="50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61"/>
        <v>0</v>
      </c>
      <c r="G32" s="33">
        <f aca="true" t="shared" si="62" ref="G32:G33">0</f>
        <v>0</v>
      </c>
      <c r="H32" s="34">
        <f t="shared" si="57"/>
        <v>0</v>
      </c>
      <c r="I32" s="35">
        <f aca="true" t="shared" si="63" ref="I32:I33">0</f>
        <v>0</v>
      </c>
      <c r="J32" s="36">
        <f t="shared" si="43"/>
        <v>0</v>
      </c>
      <c r="K32" s="36">
        <f t="shared" si="44"/>
        <v>0</v>
      </c>
      <c r="L32" s="36">
        <f t="shared" si="45"/>
        <v>0</v>
      </c>
      <c r="M32" s="36">
        <f t="shared" si="46"/>
        <v>0</v>
      </c>
      <c r="N32" s="36">
        <f t="shared" si="47"/>
        <v>0</v>
      </c>
      <c r="O32" s="36">
        <f t="shared" si="48"/>
        <v>0</v>
      </c>
      <c r="P32" s="36">
        <f t="shared" si="49"/>
        <v>0</v>
      </c>
      <c r="Q32" s="36">
        <f t="shared" si="50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61"/>
        <v>0</v>
      </c>
      <c r="G33" s="33">
        <f t="shared" si="62"/>
        <v>0</v>
      </c>
      <c r="H33" s="34">
        <f t="shared" si="57"/>
        <v>0</v>
      </c>
      <c r="I33" s="35">
        <f t="shared" si="63"/>
        <v>0</v>
      </c>
      <c r="J33" s="36">
        <f t="shared" si="43"/>
        <v>0</v>
      </c>
      <c r="K33" s="36">
        <f t="shared" si="44"/>
        <v>0</v>
      </c>
      <c r="L33" s="36">
        <f t="shared" si="45"/>
        <v>0</v>
      </c>
      <c r="M33" s="36">
        <f t="shared" si="46"/>
        <v>0</v>
      </c>
      <c r="N33" s="36">
        <f t="shared" si="47"/>
        <v>0</v>
      </c>
      <c r="O33" s="36">
        <f t="shared" si="48"/>
        <v>0</v>
      </c>
      <c r="P33" s="36">
        <f t="shared" si="49"/>
        <v>0</v>
      </c>
      <c r="Q33" s="36">
        <f t="shared" si="50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2026525.28</f>
        <v>2026525.28</v>
      </c>
      <c r="F34" s="24">
        <f aca="true" t="shared" si="65" ref="F34:F35">915692</f>
        <v>915692</v>
      </c>
      <c r="G34" s="24">
        <f aca="true" t="shared" si="66" ref="G34:G35">1215692</f>
        <v>1215692</v>
      </c>
      <c r="H34" s="25">
        <f aca="true" t="shared" si="67" ref="H34:H35">1215692</f>
        <v>1215692</v>
      </c>
      <c r="I34" s="26">
        <f aca="true" t="shared" si="68" ref="I34:I35">1478204</f>
        <v>1478204</v>
      </c>
      <c r="J34" s="27">
        <f aca="true" t="shared" si="69" ref="J34:J35">1678204</f>
        <v>1678204</v>
      </c>
      <c r="K34" s="27">
        <f aca="true" t="shared" si="70" ref="K34:K35">1860004</f>
        <v>1860004</v>
      </c>
      <c r="L34" s="27">
        <f aca="true" t="shared" si="71" ref="L34:L35">2210004</f>
        <v>2210004</v>
      </c>
      <c r="M34" s="27">
        <f aca="true" t="shared" si="72" ref="M34:M35">2210004</f>
        <v>2210004</v>
      </c>
      <c r="N34" s="27">
        <f aca="true" t="shared" si="73" ref="N34:N35">2250004</f>
        <v>2250004</v>
      </c>
      <c r="O34" s="27">
        <f aca="true" t="shared" si="74" ref="O34:O35">2418000</f>
        <v>2418000</v>
      </c>
      <c r="P34" s="27">
        <f aca="true" t="shared" si="75" ref="P34:P35">1250000</f>
        <v>1250000</v>
      </c>
      <c r="Q34" s="27">
        <f aca="true" t="shared" si="76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2026525.28</v>
      </c>
      <c r="F35" s="33">
        <f t="shared" si="65"/>
        <v>915692</v>
      </c>
      <c r="G35" s="33">
        <f t="shared" si="66"/>
        <v>1215692</v>
      </c>
      <c r="H35" s="34">
        <f t="shared" si="67"/>
        <v>1215692</v>
      </c>
      <c r="I35" s="35">
        <f t="shared" si="68"/>
        <v>1478204</v>
      </c>
      <c r="J35" s="36">
        <f t="shared" si="69"/>
        <v>1678204</v>
      </c>
      <c r="K35" s="36">
        <f t="shared" si="70"/>
        <v>1860004</v>
      </c>
      <c r="L35" s="36">
        <f t="shared" si="71"/>
        <v>2210004</v>
      </c>
      <c r="M35" s="36">
        <f t="shared" si="72"/>
        <v>2210004</v>
      </c>
      <c r="N35" s="36">
        <f t="shared" si="73"/>
        <v>2250004</v>
      </c>
      <c r="O35" s="36">
        <f t="shared" si="74"/>
        <v>2418000</v>
      </c>
      <c r="P35" s="36">
        <f t="shared" si="75"/>
        <v>1250000</v>
      </c>
      <c r="Q35" s="36">
        <f t="shared" si="76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1566375.45</f>
        <v>1566375.45</v>
      </c>
      <c r="J44" s="36">
        <f aca="true" t="shared" si="90" ref="J44:J45">3678204</f>
        <v>3678204</v>
      </c>
      <c r="K44" s="36">
        <f aca="true" t="shared" si="91" ref="K44:K45">5600000</f>
        <v>5600000</v>
      </c>
      <c r="L44" s="36">
        <f aca="true" t="shared" si="92" ref="L44:L45">7100000</f>
        <v>7100000</v>
      </c>
      <c r="M44" s="36">
        <f aca="true" t="shared" si="93" ref="M44:M45">8600000</f>
        <v>8600000</v>
      </c>
      <c r="N44" s="36">
        <f aca="true" t="shared" si="94" ref="N44:N45">10100000</f>
        <v>10100000</v>
      </c>
      <c r="O44" s="36">
        <f aca="true" t="shared" si="95" ref="O44:O45">11600000</f>
        <v>11600000</v>
      </c>
      <c r="P44" s="36">
        <f aca="true" t="shared" si="96" ref="P44:P45">13100000</f>
        <v>13100000</v>
      </c>
      <c r="Q44" s="36">
        <f aca="true" t="shared" si="97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3978732.66</f>
        <v>3978732.66</v>
      </c>
      <c r="J45" s="36">
        <f t="shared" si="90"/>
        <v>3678204</v>
      </c>
      <c r="K45" s="36">
        <f t="shared" si="91"/>
        <v>5600000</v>
      </c>
      <c r="L45" s="36">
        <f t="shared" si="92"/>
        <v>7100000</v>
      </c>
      <c r="M45" s="36">
        <f t="shared" si="93"/>
        <v>8600000</v>
      </c>
      <c r="N45" s="36">
        <f t="shared" si="94"/>
        <v>10100000</v>
      </c>
      <c r="O45" s="36">
        <f t="shared" si="95"/>
        <v>11600000</v>
      </c>
      <c r="P45" s="36">
        <f t="shared" si="96"/>
        <v>13100000</v>
      </c>
      <c r="Q45" s="36">
        <f t="shared" si="97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8" ref="E47:E48">0.0668</f>
        <v>0.0668</v>
      </c>
      <c r="F47" s="47">
        <f aca="true" t="shared" si="99" ref="F47:F48">0.0365</f>
        <v>0.0365</v>
      </c>
      <c r="G47" s="47">
        <f aca="true" t="shared" si="100" ref="G47:G48">0.0412</f>
        <v>0.0412</v>
      </c>
      <c r="H47" s="48">
        <f aca="true" t="shared" si="101" ref="H47:H48">0.0388</f>
        <v>0.0388</v>
      </c>
      <c r="I47" s="49">
        <f aca="true" t="shared" si="102" ref="I47:I48">0.0408</f>
        <v>0.0408</v>
      </c>
      <c r="J47" s="50">
        <f aca="true" t="shared" si="103" ref="J47:J48">0.0431</f>
        <v>0.0431</v>
      </c>
      <c r="K47" s="50">
        <f aca="true" t="shared" si="104" ref="K47:K48">0.0521</f>
        <v>0.0521</v>
      </c>
      <c r="L47" s="50">
        <f aca="true" t="shared" si="105" ref="L47:L48">0.0569</f>
        <v>0.0569</v>
      </c>
      <c r="M47" s="50">
        <f aca="true" t="shared" si="106" ref="M47:M48">0.0506</f>
        <v>0.0506</v>
      </c>
      <c r="N47" s="50">
        <f aca="true" t="shared" si="107" ref="N47:N48">0.0506</f>
        <v>0.0506</v>
      </c>
      <c r="O47" s="50">
        <f aca="true" t="shared" si="108" ref="O47:O48">0.0504</f>
        <v>0.0504</v>
      </c>
      <c r="P47" s="50">
        <f aca="true" t="shared" si="109" ref="P47:P48">0.0258</f>
        <v>0.0258</v>
      </c>
      <c r="Q47" s="50">
        <f aca="true" t="shared" si="110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8"/>
        <v>0.0668</v>
      </c>
      <c r="F48" s="47">
        <f t="shared" si="99"/>
        <v>0.0365</v>
      </c>
      <c r="G48" s="47">
        <f t="shared" si="100"/>
        <v>0.0412</v>
      </c>
      <c r="H48" s="48">
        <f t="shared" si="101"/>
        <v>0.0388</v>
      </c>
      <c r="I48" s="49">
        <f t="shared" si="102"/>
        <v>0.0408</v>
      </c>
      <c r="J48" s="50">
        <f t="shared" si="103"/>
        <v>0.0431</v>
      </c>
      <c r="K48" s="50">
        <f t="shared" si="104"/>
        <v>0.0521</v>
      </c>
      <c r="L48" s="50">
        <f t="shared" si="105"/>
        <v>0.0569</v>
      </c>
      <c r="M48" s="50">
        <f t="shared" si="106"/>
        <v>0.0506</v>
      </c>
      <c r="N48" s="50">
        <f t="shared" si="107"/>
        <v>0.0506</v>
      </c>
      <c r="O48" s="50">
        <f t="shared" si="108"/>
        <v>0.0504</v>
      </c>
      <c r="P48" s="50">
        <f t="shared" si="109"/>
        <v>0.0258</v>
      </c>
      <c r="Q48" s="50">
        <f t="shared" si="110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0.0408</f>
        <v>0.0408</v>
      </c>
      <c r="J50" s="50">
        <f>0.0431</f>
        <v>0.0431</v>
      </c>
      <c r="K50" s="50">
        <f>0.0521</f>
        <v>0.0521</v>
      </c>
      <c r="L50" s="50">
        <f>0.0569</f>
        <v>0.0569</v>
      </c>
      <c r="M50" s="50">
        <f>0.0506</f>
        <v>0.0506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0.03615615970953518</v>
      </c>
      <c r="J51" s="50">
        <f>+IF(AND(J2&gt;=2013,J2&lt;=2018),IF(J3&lt;&gt;0,(J4+J12-J15+J18)/J3,0),IF(J3&lt;&gt;0,(J4+J12-J15)/J3,0))</f>
        <v>0.16585041365976882</v>
      </c>
      <c r="K51" s="50">
        <f>+IF(AND(K2&gt;=2013,K2&lt;=2018),IF(K3&lt;&gt;0,(K4+K12-K15+K18)/K3,0),IF(K3&lt;&gt;0,(K4+K12-K15)/K3,0))</f>
        <v>0.12128115131954385</v>
      </c>
      <c r="L51" s="50">
        <f>+IF(AND(L2&gt;=2013,L2&lt;=2018),IF(L3&lt;&gt;0,(L4+L12-L15+L18)/L3,0),IF(L3&lt;&gt;0,(L4+L12-L15)/L3,0))</f>
        <v>0.14910354285822808</v>
      </c>
      <c r="M51" s="50">
        <f>+IF(AND(M2&gt;=2013,M2&lt;=2018),IF(M3&lt;&gt;0,(M4+M12-M15+M18)/M3,0),IF(M3&lt;&gt;0,(M4+M12-M15)/M3,0))</f>
        <v>0.1654557937989208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0.0461</f>
        <v>0.0461</v>
      </c>
      <c r="K52" s="50">
        <f>0.0773</f>
        <v>0.0773</v>
      </c>
      <c r="L52" s="50">
        <f aca="true" t="shared" si="111" ref="L52:L53">0.1078</f>
        <v>0.1078</v>
      </c>
      <c r="M52" s="50">
        <f aca="true" t="shared" si="112" ref="M52:M53">0.1454</f>
        <v>0.1454</v>
      </c>
      <c r="N52" s="50">
        <f aca="true" t="shared" si="113" ref="N52:N53">0.1453</f>
        <v>0.1453</v>
      </c>
      <c r="O52" s="50">
        <f aca="true" t="shared" si="114" ref="O52:O53">0.1709</f>
        <v>0.1709</v>
      </c>
      <c r="P52" s="50">
        <f aca="true" t="shared" si="115" ref="P52:P53">0.1941</f>
        <v>0.1941</v>
      </c>
      <c r="Q52" s="50">
        <f aca="true" t="shared" si="116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0.0618</f>
        <v>0.0618</v>
      </c>
      <c r="K53" s="50">
        <f>0.0931</f>
        <v>0.0931</v>
      </c>
      <c r="L53" s="50">
        <f t="shared" si="111"/>
        <v>0.1078</v>
      </c>
      <c r="M53" s="50">
        <f t="shared" si="112"/>
        <v>0.1454</v>
      </c>
      <c r="N53" s="50">
        <f t="shared" si="113"/>
        <v>0.1453</v>
      </c>
      <c r="O53" s="50">
        <f t="shared" si="114"/>
        <v>0.1709</v>
      </c>
      <c r="P53" s="50">
        <f t="shared" si="115"/>
        <v>0.1941</v>
      </c>
      <c r="Q53" s="50">
        <f t="shared" si="116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7" ref="E56:E57">0</f>
        <v>0</v>
      </c>
      <c r="F56" s="24">
        <f aca="true" t="shared" si="118" ref="F56:F57">0</f>
        <v>0</v>
      </c>
      <c r="G56" s="24">
        <f aca="true" t="shared" si="119" ref="G56:G57">0</f>
        <v>0</v>
      </c>
      <c r="H56" s="25">
        <f aca="true" t="shared" si="120" ref="H56:H57">0</f>
        <v>0</v>
      </c>
      <c r="I56" s="26">
        <f aca="true" t="shared" si="121" ref="I56:I57">0</f>
        <v>0</v>
      </c>
      <c r="J56" s="27">
        <f aca="true" t="shared" si="122" ref="J56:J57">1678204</f>
        <v>1678204</v>
      </c>
      <c r="K56" s="27">
        <f aca="true" t="shared" si="123" ref="K56:K57">1860004</f>
        <v>1860004</v>
      </c>
      <c r="L56" s="27">
        <f aca="true" t="shared" si="124" ref="L56:L57">2210004</f>
        <v>2210004</v>
      </c>
      <c r="M56" s="27">
        <f aca="true" t="shared" si="125" ref="M56:M57">2210004</f>
        <v>2210004</v>
      </c>
      <c r="N56" s="27">
        <f aca="true" t="shared" si="126" ref="N56:N57">2250004</f>
        <v>2250004</v>
      </c>
      <c r="O56" s="27">
        <f aca="true" t="shared" si="127" ref="O56:O57">2418000</f>
        <v>2418000</v>
      </c>
      <c r="P56" s="27">
        <f aca="true" t="shared" si="128" ref="P56:P57">1250000</f>
        <v>1250000</v>
      </c>
      <c r="Q56" s="27">
        <f aca="true" t="shared" si="129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7"/>
        <v>0</v>
      </c>
      <c r="F57" s="33">
        <f t="shared" si="118"/>
        <v>0</v>
      </c>
      <c r="G57" s="33">
        <f t="shared" si="119"/>
        <v>0</v>
      </c>
      <c r="H57" s="34">
        <f t="shared" si="120"/>
        <v>0</v>
      </c>
      <c r="I57" s="35">
        <f t="shared" si="121"/>
        <v>0</v>
      </c>
      <c r="J57" s="36">
        <f t="shared" si="122"/>
        <v>1678204</v>
      </c>
      <c r="K57" s="36">
        <f t="shared" si="123"/>
        <v>1860004</v>
      </c>
      <c r="L57" s="36">
        <f t="shared" si="124"/>
        <v>2210004</v>
      </c>
      <c r="M57" s="36">
        <f t="shared" si="125"/>
        <v>2210004</v>
      </c>
      <c r="N57" s="36">
        <f t="shared" si="126"/>
        <v>2250004</v>
      </c>
      <c r="O57" s="36">
        <f t="shared" si="127"/>
        <v>2418000</v>
      </c>
      <c r="P57" s="36">
        <f t="shared" si="128"/>
        <v>1250000</v>
      </c>
      <c r="Q57" s="36">
        <f t="shared" si="129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15371103.81</f>
        <v>15371103.81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0" ref="M59:M60">0</f>
        <v>0</v>
      </c>
      <c r="N59" s="36">
        <f aca="true" t="shared" si="131" ref="N59:N66">0</f>
        <v>0</v>
      </c>
      <c r="O59" s="36">
        <f aca="true" t="shared" si="132" ref="O59:O66">0</f>
        <v>0</v>
      </c>
      <c r="P59" s="36">
        <f aca="true" t="shared" si="133" ref="P59:P66">0</f>
        <v>0</v>
      </c>
      <c r="Q59" s="36">
        <f aca="true" t="shared" si="134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3500700</f>
        <v>3500700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0"/>
        <v>0</v>
      </c>
      <c r="N60" s="36">
        <f t="shared" si="131"/>
        <v>0</v>
      </c>
      <c r="O60" s="36">
        <f t="shared" si="132"/>
        <v>0</v>
      </c>
      <c r="P60" s="36">
        <f t="shared" si="133"/>
        <v>0</v>
      </c>
      <c r="Q60" s="36">
        <f t="shared" si="134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208103.62</f>
        <v>208103.62</v>
      </c>
      <c r="J61" s="36">
        <f>8126882.49</f>
        <v>8126882.49</v>
      </c>
      <c r="K61" s="36">
        <f>4573873.46</f>
        <v>4573873.46</v>
      </c>
      <c r="L61" s="36">
        <f>1142746.05</f>
        <v>1142746.05</v>
      </c>
      <c r="M61" s="36">
        <f>5902772.01</f>
        <v>5902772.01</v>
      </c>
      <c r="N61" s="36">
        <f t="shared" si="131"/>
        <v>0</v>
      </c>
      <c r="O61" s="36">
        <f t="shared" si="132"/>
        <v>0</v>
      </c>
      <c r="P61" s="36">
        <f t="shared" si="133"/>
        <v>0</v>
      </c>
      <c r="Q61" s="36">
        <f t="shared" si="134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78103.62</f>
        <v>78103.62</v>
      </c>
      <c r="J62" s="36">
        <f>288323.56</f>
        <v>288323.56</v>
      </c>
      <c r="K62" s="36">
        <f>118400</f>
        <v>118400</v>
      </c>
      <c r="L62" s="36">
        <f>20300</f>
        <v>20300</v>
      </c>
      <c r="M62" s="36">
        <f>30140</f>
        <v>30140</v>
      </c>
      <c r="N62" s="36">
        <f t="shared" si="131"/>
        <v>0</v>
      </c>
      <c r="O62" s="36">
        <f t="shared" si="132"/>
        <v>0</v>
      </c>
      <c r="P62" s="36">
        <f t="shared" si="133"/>
        <v>0</v>
      </c>
      <c r="Q62" s="36">
        <f t="shared" si="134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130000</f>
        <v>130000</v>
      </c>
      <c r="J63" s="36">
        <f>7838558.93</f>
        <v>7838558.93</v>
      </c>
      <c r="K63" s="36">
        <f>4455473.46</f>
        <v>4455473.46</v>
      </c>
      <c r="L63" s="36">
        <f>1122446.05</f>
        <v>1122446.05</v>
      </c>
      <c r="M63" s="36">
        <f>5872632.01</f>
        <v>5872632.01</v>
      </c>
      <c r="N63" s="36">
        <f t="shared" si="131"/>
        <v>0</v>
      </c>
      <c r="O63" s="36">
        <f t="shared" si="132"/>
        <v>0</v>
      </c>
      <c r="P63" s="36">
        <f t="shared" si="133"/>
        <v>0</v>
      </c>
      <c r="Q63" s="36">
        <f t="shared" si="134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4148462.79</f>
        <v>4148462.79</v>
      </c>
      <c r="J64" s="36">
        <f aca="true" t="shared" si="135" ref="J64:J66">0</f>
        <v>0</v>
      </c>
      <c r="K64" s="36">
        <f aca="true" t="shared" si="136" ref="K64:K66">0</f>
        <v>0</v>
      </c>
      <c r="L64" s="36">
        <f aca="true" t="shared" si="137" ref="L64:L66">0</f>
        <v>0</v>
      </c>
      <c r="M64" s="36">
        <f aca="true" t="shared" si="138" ref="M64:M66">0</f>
        <v>0</v>
      </c>
      <c r="N64" s="36">
        <f t="shared" si="131"/>
        <v>0</v>
      </c>
      <c r="O64" s="36">
        <f t="shared" si="132"/>
        <v>0</v>
      </c>
      <c r="P64" s="36">
        <f t="shared" si="133"/>
        <v>0</v>
      </c>
      <c r="Q64" s="36">
        <f t="shared" si="134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1949000</f>
        <v>1949000</v>
      </c>
      <c r="J65" s="36">
        <f t="shared" si="135"/>
        <v>0</v>
      </c>
      <c r="K65" s="36">
        <f t="shared" si="136"/>
        <v>0</v>
      </c>
      <c r="L65" s="36">
        <f t="shared" si="137"/>
        <v>0</v>
      </c>
      <c r="M65" s="36">
        <f t="shared" si="138"/>
        <v>0</v>
      </c>
      <c r="N65" s="36">
        <f t="shared" si="131"/>
        <v>0</v>
      </c>
      <c r="O65" s="36">
        <f t="shared" si="132"/>
        <v>0</v>
      </c>
      <c r="P65" s="36">
        <f t="shared" si="133"/>
        <v>0</v>
      </c>
      <c r="Q65" s="36">
        <f t="shared" si="134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626410</f>
        <v>626410</v>
      </c>
      <c r="J66" s="36">
        <f t="shared" si="135"/>
        <v>0</v>
      </c>
      <c r="K66" s="36">
        <f t="shared" si="136"/>
        <v>0</v>
      </c>
      <c r="L66" s="36">
        <f t="shared" si="137"/>
        <v>0</v>
      </c>
      <c r="M66" s="36">
        <f t="shared" si="138"/>
        <v>0</v>
      </c>
      <c r="N66" s="36">
        <f t="shared" si="131"/>
        <v>0</v>
      </c>
      <c r="O66" s="36">
        <f t="shared" si="132"/>
        <v>0</v>
      </c>
      <c r="P66" s="36">
        <f t="shared" si="133"/>
        <v>0</v>
      </c>
      <c r="Q66" s="36">
        <f t="shared" si="134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 aca="true" t="shared" si="139" ref="I68:I70">95388.21</f>
        <v>95388.21</v>
      </c>
      <c r="J68" s="36">
        <f aca="true" t="shared" si="140" ref="J68:J70">88679.42</f>
        <v>88679.42</v>
      </c>
      <c r="K68" s="36">
        <f aca="true" t="shared" si="141" ref="K68:K70">12240</f>
        <v>12240</v>
      </c>
      <c r="L68" s="36">
        <f aca="true" t="shared" si="142" ref="L68:L70">12240</f>
        <v>12240</v>
      </c>
      <c r="M68" s="36">
        <f aca="true" t="shared" si="143" ref="M68:M70">17680</f>
        <v>17680</v>
      </c>
      <c r="N68" s="36">
        <f aca="true" t="shared" si="144" ref="N68:N87">0</f>
        <v>0</v>
      </c>
      <c r="O68" s="36">
        <f aca="true" t="shared" si="145" ref="O68:O87">0</f>
        <v>0</v>
      </c>
      <c r="P68" s="36">
        <f aca="true" t="shared" si="146" ref="P68:P87">0</f>
        <v>0</v>
      </c>
      <c r="Q68" s="36">
        <f aca="true" t="shared" si="147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48" ref="E69:E70">2271968.91</f>
        <v>2271968.91</v>
      </c>
      <c r="F69" s="33">
        <f aca="true" t="shared" si="149" ref="F69:F70">400393.51</f>
        <v>400393.51</v>
      </c>
      <c r="G69" s="33">
        <f aca="true" t="shared" si="150" ref="G69:G70">434833.41</f>
        <v>434833.41</v>
      </c>
      <c r="H69" s="34">
        <f aca="true" t="shared" si="151" ref="H69:H70">431833.84</f>
        <v>431833.84</v>
      </c>
      <c r="I69" s="35">
        <f t="shared" si="139"/>
        <v>95388.21</v>
      </c>
      <c r="J69" s="36">
        <f t="shared" si="140"/>
        <v>88679.42</v>
      </c>
      <c r="K69" s="36">
        <f t="shared" si="141"/>
        <v>12240</v>
      </c>
      <c r="L69" s="36">
        <f t="shared" si="142"/>
        <v>12240</v>
      </c>
      <c r="M69" s="36">
        <f t="shared" si="143"/>
        <v>17680</v>
      </c>
      <c r="N69" s="36">
        <f t="shared" si="144"/>
        <v>0</v>
      </c>
      <c r="O69" s="36">
        <f t="shared" si="145"/>
        <v>0</v>
      </c>
      <c r="P69" s="36">
        <f t="shared" si="146"/>
        <v>0</v>
      </c>
      <c r="Q69" s="36">
        <f t="shared" si="147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48"/>
        <v>2271968.91</v>
      </c>
      <c r="F70" s="33">
        <f t="shared" si="149"/>
        <v>400393.51</v>
      </c>
      <c r="G70" s="33">
        <f t="shared" si="150"/>
        <v>434833.41</v>
      </c>
      <c r="H70" s="34">
        <f t="shared" si="151"/>
        <v>431833.84</v>
      </c>
      <c r="I70" s="35">
        <f t="shared" si="139"/>
        <v>95388.21</v>
      </c>
      <c r="J70" s="36">
        <f t="shared" si="140"/>
        <v>88679.42</v>
      </c>
      <c r="K70" s="36">
        <f t="shared" si="141"/>
        <v>12240</v>
      </c>
      <c r="L70" s="36">
        <f t="shared" si="142"/>
        <v>12240</v>
      </c>
      <c r="M70" s="36">
        <f t="shared" si="143"/>
        <v>17680</v>
      </c>
      <c r="N70" s="36">
        <f t="shared" si="144"/>
        <v>0</v>
      </c>
      <c r="O70" s="36">
        <f t="shared" si="145"/>
        <v>0</v>
      </c>
      <c r="P70" s="36">
        <f t="shared" si="146"/>
        <v>0</v>
      </c>
      <c r="Q70" s="36">
        <f t="shared" si="147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2" ref="F71:F73">83947.5</f>
        <v>83947.5</v>
      </c>
      <c r="G71" s="33">
        <f aca="true" t="shared" si="153" ref="G71:G73">691664.53</f>
        <v>691664.53</v>
      </c>
      <c r="H71" s="34">
        <f aca="true" t="shared" si="154" ref="H71:H73">688086.58</f>
        <v>688086.58</v>
      </c>
      <c r="I71" s="35">
        <f aca="true" t="shared" si="155" ref="I71:I73">799078.34</f>
        <v>799078.34</v>
      </c>
      <c r="J71" s="36">
        <f aca="true" t="shared" si="156" ref="J71:J73">4037531.39</f>
        <v>4037531.39</v>
      </c>
      <c r="K71" s="36">
        <f aca="true" t="shared" si="157" ref="K71:K73">1173704.15</f>
        <v>1173704.15</v>
      </c>
      <c r="L71" s="36">
        <f aca="true" t="shared" si="158" ref="L71:L73">617916.14</f>
        <v>617916.14</v>
      </c>
      <c r="M71" s="36">
        <f aca="true" t="shared" si="159" ref="M71:M73">2977629.81</f>
        <v>2977629.81</v>
      </c>
      <c r="N71" s="36">
        <f t="shared" si="144"/>
        <v>0</v>
      </c>
      <c r="O71" s="36">
        <f t="shared" si="145"/>
        <v>0</v>
      </c>
      <c r="P71" s="36">
        <f t="shared" si="146"/>
        <v>0</v>
      </c>
      <c r="Q71" s="36">
        <f t="shared" si="147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0" ref="E72:E73">2339496.15</f>
        <v>2339496.15</v>
      </c>
      <c r="F72" s="33">
        <f t="shared" si="152"/>
        <v>83947.5</v>
      </c>
      <c r="G72" s="33">
        <f t="shared" si="153"/>
        <v>691664.53</v>
      </c>
      <c r="H72" s="34">
        <f t="shared" si="154"/>
        <v>688086.58</v>
      </c>
      <c r="I72" s="35">
        <f t="shared" si="155"/>
        <v>799078.34</v>
      </c>
      <c r="J72" s="36">
        <f t="shared" si="156"/>
        <v>4037531.39</v>
      </c>
      <c r="K72" s="36">
        <f t="shared" si="157"/>
        <v>1173704.15</v>
      </c>
      <c r="L72" s="36">
        <f t="shared" si="158"/>
        <v>617916.14</v>
      </c>
      <c r="M72" s="36">
        <f t="shared" si="159"/>
        <v>2977629.81</v>
      </c>
      <c r="N72" s="36">
        <f t="shared" si="144"/>
        <v>0</v>
      </c>
      <c r="O72" s="36">
        <f t="shared" si="145"/>
        <v>0</v>
      </c>
      <c r="P72" s="36">
        <f t="shared" si="146"/>
        <v>0</v>
      </c>
      <c r="Q72" s="36">
        <f t="shared" si="147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0"/>
        <v>2339496.15</v>
      </c>
      <c r="F73" s="33">
        <f t="shared" si="152"/>
        <v>83947.5</v>
      </c>
      <c r="G73" s="33">
        <f t="shared" si="153"/>
        <v>691664.53</v>
      </c>
      <c r="H73" s="34">
        <f t="shared" si="154"/>
        <v>688086.58</v>
      </c>
      <c r="I73" s="35">
        <f t="shared" si="155"/>
        <v>799078.34</v>
      </c>
      <c r="J73" s="36">
        <f t="shared" si="156"/>
        <v>4037531.39</v>
      </c>
      <c r="K73" s="36">
        <f t="shared" si="157"/>
        <v>1173704.15</v>
      </c>
      <c r="L73" s="36">
        <f t="shared" si="158"/>
        <v>617916.14</v>
      </c>
      <c r="M73" s="36">
        <f t="shared" si="159"/>
        <v>2977629.81</v>
      </c>
      <c r="N73" s="36">
        <f t="shared" si="144"/>
        <v>0</v>
      </c>
      <c r="O73" s="36">
        <f t="shared" si="145"/>
        <v>0</v>
      </c>
      <c r="P73" s="36">
        <f t="shared" si="146"/>
        <v>0</v>
      </c>
      <c r="Q73" s="36">
        <f t="shared" si="147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121953.6</f>
        <v>121953.6</v>
      </c>
      <c r="J74" s="36">
        <f>130873.56</f>
        <v>130873.56</v>
      </c>
      <c r="K74" s="36">
        <f>20300</f>
        <v>20300</v>
      </c>
      <c r="L74" s="36">
        <f>20300</f>
        <v>20300</v>
      </c>
      <c r="M74" s="36">
        <f>30140</f>
        <v>30140</v>
      </c>
      <c r="N74" s="36">
        <f t="shared" si="144"/>
        <v>0</v>
      </c>
      <c r="O74" s="36">
        <f t="shared" si="145"/>
        <v>0</v>
      </c>
      <c r="P74" s="36">
        <f t="shared" si="146"/>
        <v>0</v>
      </c>
      <c r="Q74" s="36">
        <f t="shared" si="147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95388.21</f>
        <v>95388.21</v>
      </c>
      <c r="J75" s="36">
        <f>88679.42</f>
        <v>88679.42</v>
      </c>
      <c r="K75" s="36">
        <f>12240</f>
        <v>12240</v>
      </c>
      <c r="L75" s="36">
        <f>12240</f>
        <v>12240</v>
      </c>
      <c r="M75" s="36">
        <f>17680</f>
        <v>17680</v>
      </c>
      <c r="N75" s="36">
        <f t="shared" si="144"/>
        <v>0</v>
      </c>
      <c r="O75" s="36">
        <f t="shared" si="145"/>
        <v>0</v>
      </c>
      <c r="P75" s="36">
        <f t="shared" si="146"/>
        <v>0</v>
      </c>
      <c r="Q75" s="36">
        <f t="shared" si="147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121953.6</f>
        <v>121953.6</v>
      </c>
      <c r="J76" s="36">
        <f>130873.56</f>
        <v>130873.56</v>
      </c>
      <c r="K76" s="36">
        <f>20300</f>
        <v>20300</v>
      </c>
      <c r="L76" s="36">
        <f>20300</f>
        <v>20300</v>
      </c>
      <c r="M76" s="36">
        <f>30140</f>
        <v>30140</v>
      </c>
      <c r="N76" s="36">
        <f t="shared" si="144"/>
        <v>0</v>
      </c>
      <c r="O76" s="36">
        <f t="shared" si="145"/>
        <v>0</v>
      </c>
      <c r="P76" s="36">
        <f t="shared" si="146"/>
        <v>0</v>
      </c>
      <c r="Q76" s="36">
        <f t="shared" si="147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1" ref="F77:F79">27120</f>
        <v>27120</v>
      </c>
      <c r="G77" s="33">
        <f aca="true" t="shared" si="162" ref="G77:G79">0</f>
        <v>0</v>
      </c>
      <c r="H77" s="34">
        <f aca="true" t="shared" si="163" ref="H77:H79">0</f>
        <v>0</v>
      </c>
      <c r="I77" s="35">
        <f>1540718.69</f>
        <v>1540718.69</v>
      </c>
      <c r="J77" s="36">
        <f>6778558.93</f>
        <v>6778558.93</v>
      </c>
      <c r="K77" s="36">
        <f>2989473.46</f>
        <v>2989473.46</v>
      </c>
      <c r="L77" s="36">
        <f>1122446.05</f>
        <v>1122446.05</v>
      </c>
      <c r="M77" s="36">
        <f>5872632.01</f>
        <v>5872632.01</v>
      </c>
      <c r="N77" s="36">
        <f t="shared" si="144"/>
        <v>0</v>
      </c>
      <c r="O77" s="36">
        <f t="shared" si="145"/>
        <v>0</v>
      </c>
      <c r="P77" s="36">
        <f t="shared" si="146"/>
        <v>0</v>
      </c>
      <c r="Q77" s="36">
        <f t="shared" si="147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1"/>
        <v>27120</v>
      </c>
      <c r="G78" s="33">
        <f t="shared" si="162"/>
        <v>0</v>
      </c>
      <c r="H78" s="34">
        <f t="shared" si="163"/>
        <v>0</v>
      </c>
      <c r="I78" s="35">
        <f>767543.08</f>
        <v>767543.08</v>
      </c>
      <c r="J78" s="36">
        <f>4037531.39</f>
        <v>4037531.39</v>
      </c>
      <c r="K78" s="36">
        <f>1173704.15</f>
        <v>1173704.15</v>
      </c>
      <c r="L78" s="36">
        <f>617916.14</f>
        <v>617916.14</v>
      </c>
      <c r="M78" s="36">
        <f>2977629.81</f>
        <v>2977629.81</v>
      </c>
      <c r="N78" s="36">
        <f t="shared" si="144"/>
        <v>0</v>
      </c>
      <c r="O78" s="36">
        <f t="shared" si="145"/>
        <v>0</v>
      </c>
      <c r="P78" s="36">
        <f t="shared" si="146"/>
        <v>0</v>
      </c>
      <c r="Q78" s="36">
        <f t="shared" si="147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1"/>
        <v>27120</v>
      </c>
      <c r="G79" s="33">
        <f t="shared" si="162"/>
        <v>0</v>
      </c>
      <c r="H79" s="34">
        <f t="shared" si="163"/>
        <v>0</v>
      </c>
      <c r="I79" s="35">
        <f>1540718.69</f>
        <v>1540718.69</v>
      </c>
      <c r="J79" s="36">
        <f>6778558.93</f>
        <v>6778558.93</v>
      </c>
      <c r="K79" s="36">
        <f>2989473.46</f>
        <v>2989473.46</v>
      </c>
      <c r="L79" s="36">
        <f>1122446.05</f>
        <v>1122446.05</v>
      </c>
      <c r="M79" s="36">
        <f>5872632.01</f>
        <v>5872632.01</v>
      </c>
      <c r="N79" s="36">
        <f t="shared" si="144"/>
        <v>0</v>
      </c>
      <c r="O79" s="36">
        <f t="shared" si="145"/>
        <v>0</v>
      </c>
      <c r="P79" s="36">
        <f t="shared" si="146"/>
        <v>0</v>
      </c>
      <c r="Q79" s="36">
        <f t="shared" si="147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4" ref="E80:E87">0</f>
        <v>0</v>
      </c>
      <c r="F80" s="33">
        <f aca="true" t="shared" si="165" ref="F80:F87">0</f>
        <v>0</v>
      </c>
      <c r="G80" s="33">
        <f aca="true" t="shared" si="166" ref="G80:G81">4478.99</f>
        <v>4478.99</v>
      </c>
      <c r="H80" s="34">
        <f aca="true" t="shared" si="167" ref="H80:H81">4457.24</f>
        <v>4457.24</v>
      </c>
      <c r="I80" s="35">
        <f aca="true" t="shared" si="168" ref="I80:I81">796741</f>
        <v>796741</v>
      </c>
      <c r="J80" s="36">
        <f aca="true" t="shared" si="169" ref="J80:J81">2783221.68</f>
        <v>2783221.68</v>
      </c>
      <c r="K80" s="36">
        <f aca="true" t="shared" si="170" ref="K80:K81">1823829.31</f>
        <v>1823829.31</v>
      </c>
      <c r="L80" s="36">
        <f aca="true" t="shared" si="171" ref="L80:L81">512589.91</f>
        <v>512589.91</v>
      </c>
      <c r="M80" s="36">
        <f aca="true" t="shared" si="172" ref="M80:M81">2907462.2</f>
        <v>2907462.2</v>
      </c>
      <c r="N80" s="36">
        <f t="shared" si="144"/>
        <v>0</v>
      </c>
      <c r="O80" s="36">
        <f t="shared" si="145"/>
        <v>0</v>
      </c>
      <c r="P80" s="36">
        <f t="shared" si="146"/>
        <v>0</v>
      </c>
      <c r="Q80" s="36">
        <f t="shared" si="147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4"/>
        <v>0</v>
      </c>
      <c r="F81" s="33">
        <f t="shared" si="165"/>
        <v>0</v>
      </c>
      <c r="G81" s="33">
        <f t="shared" si="166"/>
        <v>4478.99</v>
      </c>
      <c r="H81" s="34">
        <f t="shared" si="167"/>
        <v>4457.24</v>
      </c>
      <c r="I81" s="35">
        <f t="shared" si="168"/>
        <v>796741</v>
      </c>
      <c r="J81" s="36">
        <f t="shared" si="169"/>
        <v>2783221.68</v>
      </c>
      <c r="K81" s="36">
        <f t="shared" si="170"/>
        <v>1823829.31</v>
      </c>
      <c r="L81" s="36">
        <f t="shared" si="171"/>
        <v>512589.91</v>
      </c>
      <c r="M81" s="36">
        <f t="shared" si="172"/>
        <v>2907462.2</v>
      </c>
      <c r="N81" s="36">
        <f t="shared" si="144"/>
        <v>0</v>
      </c>
      <c r="O81" s="36">
        <f t="shared" si="145"/>
        <v>0</v>
      </c>
      <c r="P81" s="36">
        <f t="shared" si="146"/>
        <v>0</v>
      </c>
      <c r="Q81" s="36">
        <f t="shared" si="147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4"/>
        <v>0</v>
      </c>
      <c r="F82" s="33">
        <f t="shared" si="165"/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aca="true" t="shared" si="179" ref="M82:M87">0</f>
        <v>0</v>
      </c>
      <c r="N82" s="36">
        <f t="shared" si="144"/>
        <v>0</v>
      </c>
      <c r="O82" s="36">
        <f t="shared" si="145"/>
        <v>0</v>
      </c>
      <c r="P82" s="36">
        <f t="shared" si="146"/>
        <v>0</v>
      </c>
      <c r="Q82" s="36">
        <f t="shared" si="147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4"/>
        <v>0</v>
      </c>
      <c r="F83" s="33">
        <f t="shared" si="165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79"/>
        <v>0</v>
      </c>
      <c r="N83" s="36">
        <f t="shared" si="144"/>
        <v>0</v>
      </c>
      <c r="O83" s="36">
        <f t="shared" si="145"/>
        <v>0</v>
      </c>
      <c r="P83" s="36">
        <f t="shared" si="146"/>
        <v>0</v>
      </c>
      <c r="Q83" s="36">
        <f t="shared" si="147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4"/>
        <v>0</v>
      </c>
      <c r="F84" s="33">
        <f t="shared" si="165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79"/>
        <v>0</v>
      </c>
      <c r="N84" s="36">
        <f t="shared" si="144"/>
        <v>0</v>
      </c>
      <c r="O84" s="36">
        <f t="shared" si="145"/>
        <v>0</v>
      </c>
      <c r="P84" s="36">
        <f t="shared" si="146"/>
        <v>0</v>
      </c>
      <c r="Q84" s="36">
        <f t="shared" si="147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4"/>
        <v>0</v>
      </c>
      <c r="F85" s="33">
        <f t="shared" si="165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79"/>
        <v>0</v>
      </c>
      <c r="N85" s="36">
        <f t="shared" si="144"/>
        <v>0</v>
      </c>
      <c r="O85" s="36">
        <f t="shared" si="145"/>
        <v>0</v>
      </c>
      <c r="P85" s="36">
        <f t="shared" si="146"/>
        <v>0</v>
      </c>
      <c r="Q85" s="36">
        <f t="shared" si="147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4"/>
        <v>0</v>
      </c>
      <c r="F86" s="33">
        <f t="shared" si="165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79"/>
        <v>0</v>
      </c>
      <c r="N86" s="36">
        <f t="shared" si="144"/>
        <v>0</v>
      </c>
      <c r="O86" s="36">
        <f t="shared" si="145"/>
        <v>0</v>
      </c>
      <c r="P86" s="36">
        <f t="shared" si="146"/>
        <v>0</v>
      </c>
      <c r="Q86" s="36">
        <f t="shared" si="147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4"/>
        <v>0</v>
      </c>
      <c r="F87" s="33">
        <f t="shared" si="165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79"/>
        <v>0</v>
      </c>
      <c r="N87" s="36">
        <f t="shared" si="144"/>
        <v>0</v>
      </c>
      <c r="O87" s="36">
        <f t="shared" si="145"/>
        <v>0</v>
      </c>
      <c r="P87" s="36">
        <f t="shared" si="146"/>
        <v>0</v>
      </c>
      <c r="Q87" s="36">
        <f t="shared" si="147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aca="true" t="shared" si="205" ref="P98:P103">0</f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205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205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205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205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205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47711301.86</v>
      </c>
      <c r="J182" s="162">
        <f>J4+J11</f>
        <v>52024012.54</v>
      </c>
      <c r="K182" s="162">
        <f>K4+K11</f>
        <v>46173704.15</v>
      </c>
      <c r="L182" s="162">
        <f>L4+L11</f>
        <v>47617916.14</v>
      </c>
      <c r="M182" s="162">
        <f>M4+M11</f>
        <v>51977629.81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48930771.86</v>
      </c>
      <c r="J183" s="168">
        <f>J15+J23</f>
        <v>50345808.54</v>
      </c>
      <c r="K183" s="168">
        <f>K15+K23</f>
        <v>44313700.15</v>
      </c>
      <c r="L183" s="168">
        <f>L15+L23</f>
        <v>45407912.14</v>
      </c>
      <c r="M183" s="168">
        <f>M15+M23</f>
        <v>49767625.81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0.019499999999999997</v>
      </c>
      <c r="J193" s="195">
        <f>+IF(J3=0,"",J52-J47)</f>
        <v>0.0030000000000000027</v>
      </c>
      <c r="K193" s="195">
        <f>+IF(K3=0,"",K52-K47)</f>
        <v>0.025199999999999993</v>
      </c>
      <c r="L193" s="195">
        <f>+IF(L3=0,"",L52-L47)</f>
        <v>0.05090000000000001</v>
      </c>
      <c r="M193" s="195">
        <f>+IF(M3=0,"",M52-M47)</f>
        <v>0.0948</v>
      </c>
      <c r="N193" s="195">
        <f>+IF(N3=0,"",N52-N47)</f>
        <v>0.0947</v>
      </c>
      <c r="O193" s="195">
        <f>+IF(O3=0,"",O52-O47)</f>
        <v>0.1205</v>
      </c>
      <c r="P193" s="195">
        <f>+IF(P3=0,"",P52-P47)</f>
        <v>0.1683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0.019499999999999997</v>
      </c>
      <c r="J194" s="201">
        <f>+IF(J3=0,"",J52-J48)</f>
        <v>0.0030000000000000027</v>
      </c>
      <c r="K194" s="201">
        <f>+IF(K3=0,"",K52-K48)</f>
        <v>0.025199999999999993</v>
      </c>
      <c r="L194" s="201">
        <f>+IF(L3=0,"",L52-L48)</f>
        <v>0.05090000000000001</v>
      </c>
      <c r="M194" s="201">
        <f>+IF(M3=0,"",M52-M48)</f>
        <v>0.0948</v>
      </c>
      <c r="N194" s="201">
        <f>+IF(N3=0,"",N52-N48)</f>
        <v>0.0947</v>
      </c>
      <c r="O194" s="201">
        <f>+IF(O3=0,"",O52-O48)</f>
        <v>0.1205</v>
      </c>
      <c r="P194" s="201">
        <f>+IF(P3=0,"",P52-P48)</f>
        <v>0.1683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0.0353</v>
      </c>
      <c r="J195" s="195">
        <f>+IF(J3=0,"",J53-J47)</f>
        <v>0.0187</v>
      </c>
      <c r="K195" s="195">
        <f>+IF(K3=0,"",K53-K47)</f>
        <v>0.041</v>
      </c>
      <c r="L195" s="195">
        <f>+IF(L3=0,"",L53-L47)</f>
        <v>0.05090000000000001</v>
      </c>
      <c r="M195" s="195">
        <f>+IF(M3=0,"",M53-M47)</f>
        <v>0.0948</v>
      </c>
      <c r="N195" s="195">
        <f>+IF(N3=0,"",N53-N47)</f>
        <v>0.0947</v>
      </c>
      <c r="O195" s="195">
        <f>+IF(O3=0,"",O53-O47)</f>
        <v>0.1205</v>
      </c>
      <c r="P195" s="195">
        <f>+IF(P3=0,"",P53-P47)</f>
        <v>0.1683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0.0353</v>
      </c>
      <c r="J196" s="201">
        <f>+IF(J3=0,"",J53-J48)</f>
        <v>0.0187</v>
      </c>
      <c r="K196" s="201">
        <f>+IF(K3=0,"",K53-K48)</f>
        <v>0.041</v>
      </c>
      <c r="L196" s="201">
        <f>+IF(L3=0,"",L53-L48)</f>
        <v>0.05090000000000001</v>
      </c>
      <c r="M196" s="201">
        <f>+IF(M3=0,"",M53-M48)</f>
        <v>0.0948</v>
      </c>
      <c r="N196" s="201">
        <f>+IF(N3=0,"",N53-N48)</f>
        <v>0.0947</v>
      </c>
      <c r="O196" s="201">
        <f>+IF(O3=0,"",O53-O48)</f>
        <v>0.1205</v>
      </c>
      <c r="P196" s="201">
        <f>+IF(P3=0,"",P53-P48)</f>
        <v>0.1683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47711301.86</v>
      </c>
      <c r="J10" s="236">
        <f>+J11+J18</f>
        <v>52024012.54</v>
      </c>
      <c r="K10" s="236">
        <f>+K11+K18</f>
        <v>46173704.15</v>
      </c>
      <c r="L10" s="236">
        <f>+L11+L18</f>
        <v>47617916.14</v>
      </c>
      <c r="M10" s="236">
        <f>+M11+M18</f>
        <v>51977629.81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43573274.52</v>
      </c>
      <c r="J11" s="242">
        <f>+'Zał.1_WPF_bazowy'!J4</f>
        <v>43036481.15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8086300.76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4880000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8611016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14873830.76</v>
      </c>
      <c r="J17" s="242">
        <f>+'Zał.1_WPF_bazowy'!J10</f>
        <v>14536481.15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4138027.34</v>
      </c>
      <c r="J18" s="242">
        <f>+'Zał.1_WPF_bazowy'!J11</f>
        <v>8987531.39</v>
      </c>
      <c r="K18" s="242">
        <f>+'Zał.1_WPF_bazowy'!K11</f>
        <v>1173704.15</v>
      </c>
      <c r="L18" s="242">
        <f>+'Zał.1_WPF_bazowy'!L11</f>
        <v>617916.14</v>
      </c>
      <c r="M18" s="242">
        <f>+'Zał.1_WPF_bazowy'!M11</f>
        <v>2977629.81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158682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3969345.34</v>
      </c>
      <c r="J20" s="242">
        <f>+'Zał.1_WPF_bazowy'!J13</f>
        <v>4037531.39</v>
      </c>
      <c r="K20" s="242">
        <f>+'Zał.1_WPF_bazowy'!K13</f>
        <v>1173704.15</v>
      </c>
      <c r="L20" s="242">
        <f>+'Zał.1_WPF_bazowy'!L13</f>
        <v>617916.14</v>
      </c>
      <c r="M20" s="242">
        <f>+'Zał.1_WPF_bazowy'!M13</f>
        <v>2977629.81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48930771.86</v>
      </c>
      <c r="J21" s="236">
        <f>+J22+J30</f>
        <v>50345808.54</v>
      </c>
      <c r="K21" s="236">
        <f>+K22+K30</f>
        <v>44313700.15</v>
      </c>
      <c r="L21" s="236">
        <f>+L22+L30</f>
        <v>45407912.14</v>
      </c>
      <c r="M21" s="236">
        <f>+M22+M30</f>
        <v>49767625.81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42006899.07</v>
      </c>
      <c r="J22" s="242">
        <f>+'Zał.1_WPF_bazowy'!J15</f>
        <v>39358277.15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9500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463500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458500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6923872.79</v>
      </c>
      <c r="J30" s="242">
        <f>+'Zał.1_WPF_bazowy'!J23</f>
        <v>10987531.39</v>
      </c>
      <c r="K30" s="242">
        <f>+'Zał.1_WPF_bazowy'!K23</f>
        <v>4913700.15</v>
      </c>
      <c r="L30" s="242">
        <f>+'Zał.1_WPF_bazowy'!L23</f>
        <v>5507912.14</v>
      </c>
      <c r="M30" s="242">
        <f>+'Zał.1_WPF_bazowy'!M23</f>
        <v>9367625.81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1566375.450000003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3978732.660000004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0.0408</v>
      </c>
      <c r="J54" s="266">
        <f>+IF(J10&lt;&gt;0,ROUND((J23+J27+J42)/J10,$K$7+2),"-")</f>
        <v>0.0431</v>
      </c>
      <c r="K54" s="266">
        <f>+IF(K10&lt;&gt;0,ROUND((K23+K27+K42)/K10,$K$7+2),"-")</f>
        <v>0.0521</v>
      </c>
      <c r="L54" s="266">
        <f>+IF(L10&lt;&gt;0,ROUND((L23+L27+L42)/L10,$K$7+2),"-")</f>
        <v>0.0569</v>
      </c>
      <c r="M54" s="266">
        <f>+IF(M10&lt;&gt;0,ROUND((M23+M27+M42)/M10,$K$7+2),"-")</f>
        <v>0.0506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0.0408</v>
      </c>
      <c r="J55" s="266">
        <f>+IF(J10&lt;&gt;0,ROUND((J23-J24+J27-J28-J29+J42-J43)/(J10-J113),$K$7+2),"-")</f>
        <v>0.0431</v>
      </c>
      <c r="K55" s="266">
        <f>+IF(K10&lt;&gt;0,ROUND((K23-K24+K27-K28-K29+K42-K43)/(K10-K113),$K$7+2),"-")</f>
        <v>0.0521</v>
      </c>
      <c r="L55" s="266">
        <f>+IF(L10&lt;&gt;0,ROUND((L23-L24+L27-L28-L29+L42-L43)/(L10-L113),$K$7+2),"-")</f>
        <v>0.0569</v>
      </c>
      <c r="M55" s="266">
        <f>+IF(M10&lt;&gt;0,ROUND((M23-M24+M27-M28-M29+M42-M43)/(M10-M113),$K$7+2),"-")</f>
        <v>0.0506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0.0408</v>
      </c>
      <c r="J57" s="266">
        <f>+IF(J10&lt;&gt;0,ROUND((J23-J24+J27-J28-J29+J42-J43+J56)/(J10-J113),$K$7+2),"-")</f>
        <v>0.0431</v>
      </c>
      <c r="K57" s="266">
        <f>+IF(K10&lt;&gt;0,ROUND((K23-K24+K27-K28-K29+K42-K43+K56)/(K10-K113),$K$7+2),"-")</f>
        <v>0.0521</v>
      </c>
      <c r="L57" s="266">
        <f>+IF(L10&lt;&gt;0,ROUND((L23-L24+L27-L28-L29+L42-L43+L56)/(L10-L113),$K$7+2),"-")</f>
        <v>0.0569</v>
      </c>
      <c r="M57" s="266">
        <f>+IF(M10&lt;&gt;0,ROUND((M23-M24+M27-M28-M29+M42-M43+M56)/(M10-M113),$K$7+2),"-")</f>
        <v>0.0506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0.0362</v>
      </c>
      <c r="J58" s="266">
        <f>+ROUND(IF(AND(J9&gt;=2013,J9&lt;=2018),IF(J10&lt;&gt;0,(J11-J113+J19-J22+J25+J114)/(J10-J113),0),IF(J10&lt;&gt;0,(J11-J113+J19-J22+J114)/(J10-J113),0)),$K$7+2)</f>
        <v>0.1659</v>
      </c>
      <c r="K58" s="266">
        <f>+ROUND(IF(AND(K9&gt;=2013,K9&lt;=2018),IF(K10&lt;&gt;0,(K11-K113+K19-K22+K25+K114)/(K10-K113),0),IF(K10&lt;&gt;0,(K11-K113+K19-K22+K114)/(K10-K113),0)),$K$7+2)</f>
        <v>0.1213</v>
      </c>
      <c r="L58" s="266">
        <f>+ROUND(IF(AND(L9&gt;=2013,L9&lt;=2018),IF(L10&lt;&gt;0,(L11-L113+L19-L22+L25+L114)/(L10-L113),0),IF(L10&lt;&gt;0,(L11-L113+L19-L22+L114)/(L10-L113),0)),$K$7+2)</f>
        <v>0.1491</v>
      </c>
      <c r="M58" s="266">
        <f>+ROUND(IF(AND(M9&gt;=2013,M9&lt;=2018),IF(M10&lt;&gt;0,(M11-M113+M19-M22+M25+M114)/(M10-M113),0),IF(M10&lt;&gt;0,(M11-M113+M19-M22+M114)/(M10-M113),0)),$K$7+2)</f>
        <v>0.1655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0.046066666666666665</v>
      </c>
      <c r="K59" s="266">
        <f>+IF(K10&lt;&gt;0,(J58+I58+G58)/3,"-")</f>
        <v>0.07733333333333334</v>
      </c>
      <c r="L59" s="266">
        <f>+IF(L10&lt;&gt;0,(K58+J58+I58)/3,"-")</f>
        <v>0.1078</v>
      </c>
      <c r="M59" s="266">
        <f>+IF(M10&lt;&gt;0,(L58+K58+J58)/3,"-")</f>
        <v>0.14543333333333333</v>
      </c>
      <c r="N59" s="266">
        <f>+IF(N10&lt;&gt;0,(M58+L58+K58)/3,"-")</f>
        <v>0.1453</v>
      </c>
      <c r="O59" s="266">
        <f>+IF(O10&lt;&gt;0,(N58+M58+L58)/3,"-")</f>
        <v>0.1708666666666667</v>
      </c>
      <c r="P59" s="266">
        <f>+IF(P10&lt;&gt;0,(O58+N58+M58)/3,"-")</f>
        <v>0.19413333333333335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0.0618</v>
      </c>
      <c r="K60" s="266">
        <f>+IF(K10&lt;&gt;0,ROUND((J58+I58+H58)/3,$K$7+2),"-")</f>
        <v>0.0931</v>
      </c>
      <c r="L60" s="266">
        <f>+IF(L10&lt;&gt;0,ROUND((K58+J58+I58)/3,$K$7+2),"-")</f>
        <v>0.1078</v>
      </c>
      <c r="M60" s="266">
        <f>+IF(M10&lt;&gt;0,ROUND((L58+K58+J58)/3,$K$7+2),"-")</f>
        <v>0.1454</v>
      </c>
      <c r="N60" s="266">
        <f>+IF(N10&lt;&gt;0,ROUND((M58+L58+K58)/3,$K$7+2),"-")</f>
        <v>0.1453</v>
      </c>
      <c r="O60" s="266">
        <f>+IF(O10&lt;&gt;0,ROUND((N58+M58+L58)/3,$K$7+2),"-")</f>
        <v>0.1709</v>
      </c>
      <c r="P60" s="266">
        <f>+IF(P10&lt;&gt;0,ROUND((O58+N58+M58)/3,$K$7+2),"-")</f>
        <v>0.1941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15371103.81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3500700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208103.62</v>
      </c>
      <c r="J68" s="248">
        <f>+J69+J70</f>
        <v>8126882.489999999</v>
      </c>
      <c r="K68" s="248">
        <f>+K69+K70</f>
        <v>4573873.46</v>
      </c>
      <c r="L68" s="248">
        <f>+L69+L70</f>
        <v>1142746.05</v>
      </c>
      <c r="M68" s="248">
        <f>+M69+M70</f>
        <v>5902772.01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78103.62</v>
      </c>
      <c r="J69" s="242">
        <f>+'Zał.1_WPF_bazowy'!J62</f>
        <v>288323.56</v>
      </c>
      <c r="K69" s="242">
        <f>+'Zał.1_WPF_bazowy'!K62</f>
        <v>118400</v>
      </c>
      <c r="L69" s="242">
        <f>+'Zał.1_WPF_bazowy'!L62</f>
        <v>20300</v>
      </c>
      <c r="M69" s="242">
        <f>+'Zał.1_WPF_bazowy'!M62</f>
        <v>30140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130000</v>
      </c>
      <c r="J70" s="242">
        <f>+'Zał.1_WPF_bazowy'!J63</f>
        <v>7838558.93</v>
      </c>
      <c r="K70" s="242">
        <f>+'Zał.1_WPF_bazowy'!K63</f>
        <v>4455473.46</v>
      </c>
      <c r="L70" s="242">
        <f>+'Zał.1_WPF_bazowy'!L63</f>
        <v>1122446.05</v>
      </c>
      <c r="M70" s="242">
        <f>+'Zał.1_WPF_bazowy'!M63</f>
        <v>5872632.01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4148462.79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1949000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626410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95388.21</v>
      </c>
      <c r="J75" s="242">
        <f>+'Zał.1_WPF_bazowy'!J68</f>
        <v>88679.42</v>
      </c>
      <c r="K75" s="242">
        <f>+'Zał.1_WPF_bazowy'!K68</f>
        <v>12240</v>
      </c>
      <c r="L75" s="242">
        <f>+'Zał.1_WPF_bazowy'!L68</f>
        <v>12240</v>
      </c>
      <c r="M75" s="242">
        <f>+'Zał.1_WPF_bazowy'!M68</f>
        <v>17680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95388.21</v>
      </c>
      <c r="J76" s="242">
        <f>+'Zał.1_WPF_bazowy'!J69</f>
        <v>88679.42</v>
      </c>
      <c r="K76" s="242">
        <f>+'Zał.1_WPF_bazowy'!K69</f>
        <v>12240</v>
      </c>
      <c r="L76" s="242">
        <f>+'Zał.1_WPF_bazowy'!L69</f>
        <v>12240</v>
      </c>
      <c r="M76" s="242">
        <f>+'Zał.1_WPF_bazowy'!M69</f>
        <v>17680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95388.21</v>
      </c>
      <c r="J77" s="242">
        <f>+'Zał.1_WPF_bazowy'!J70</f>
        <v>88679.42</v>
      </c>
      <c r="K77" s="242">
        <f>+'Zał.1_WPF_bazowy'!K70</f>
        <v>12240</v>
      </c>
      <c r="L77" s="242">
        <f>+'Zał.1_WPF_bazowy'!L70</f>
        <v>12240</v>
      </c>
      <c r="M77" s="242">
        <f>+'Zał.1_WPF_bazowy'!M70</f>
        <v>17680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799078.34</v>
      </c>
      <c r="J78" s="242">
        <f>+'Zał.1_WPF_bazowy'!J71</f>
        <v>4037531.39</v>
      </c>
      <c r="K78" s="242">
        <f>+'Zał.1_WPF_bazowy'!K71</f>
        <v>1173704.15</v>
      </c>
      <c r="L78" s="242">
        <f>+'Zał.1_WPF_bazowy'!L71</f>
        <v>617916.14</v>
      </c>
      <c r="M78" s="242">
        <f>+'Zał.1_WPF_bazowy'!M71</f>
        <v>2977629.81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799078.34</v>
      </c>
      <c r="J79" s="242">
        <f>+'Zał.1_WPF_bazowy'!J72</f>
        <v>4037531.39</v>
      </c>
      <c r="K79" s="242">
        <f>+'Zał.1_WPF_bazowy'!K72</f>
        <v>1173704.15</v>
      </c>
      <c r="L79" s="242">
        <f>+'Zał.1_WPF_bazowy'!L72</f>
        <v>617916.14</v>
      </c>
      <c r="M79" s="242">
        <f>+'Zał.1_WPF_bazowy'!M72</f>
        <v>2977629.81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799078.34</v>
      </c>
      <c r="J80" s="242">
        <f>+'Zał.1_WPF_bazowy'!J73</f>
        <v>4037531.39</v>
      </c>
      <c r="K80" s="242">
        <f>+'Zał.1_WPF_bazowy'!K73</f>
        <v>1173704.15</v>
      </c>
      <c r="L80" s="242">
        <f>+'Zał.1_WPF_bazowy'!L73</f>
        <v>617916.14</v>
      </c>
      <c r="M80" s="242">
        <f>+'Zał.1_WPF_bazowy'!M73</f>
        <v>2977629.81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121953.6</v>
      </c>
      <c r="J81" s="242">
        <f>+'Zał.1_WPF_bazowy'!J74</f>
        <v>130873.56</v>
      </c>
      <c r="K81" s="242">
        <f>+'Zał.1_WPF_bazowy'!K74</f>
        <v>20300</v>
      </c>
      <c r="L81" s="242">
        <f>+'Zał.1_WPF_bazowy'!L74</f>
        <v>20300</v>
      </c>
      <c r="M81" s="242">
        <f>+'Zał.1_WPF_bazowy'!M74</f>
        <v>30140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95388.21</v>
      </c>
      <c r="J82" s="242">
        <f>+'Zał.1_WPF_bazowy'!J75</f>
        <v>88679.42</v>
      </c>
      <c r="K82" s="242">
        <f>+'Zał.1_WPF_bazowy'!K75</f>
        <v>12240</v>
      </c>
      <c r="L82" s="242">
        <f>+'Zał.1_WPF_bazowy'!L75</f>
        <v>12240</v>
      </c>
      <c r="M82" s="242">
        <f>+'Zał.1_WPF_bazowy'!M75</f>
        <v>17680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121953.6</v>
      </c>
      <c r="J83" s="242">
        <f>+'Zał.1_WPF_bazowy'!J76</f>
        <v>130873.56</v>
      </c>
      <c r="K83" s="242">
        <f>+'Zał.1_WPF_bazowy'!K76</f>
        <v>20300</v>
      </c>
      <c r="L83" s="242">
        <f>+'Zał.1_WPF_bazowy'!L76</f>
        <v>20300</v>
      </c>
      <c r="M83" s="242">
        <f>+'Zał.1_WPF_bazowy'!M76</f>
        <v>30140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1540718.69</v>
      </c>
      <c r="J84" s="242">
        <f>+'Zał.1_WPF_bazowy'!J77</f>
        <v>6778558.93</v>
      </c>
      <c r="K84" s="242">
        <f>+'Zał.1_WPF_bazowy'!K77</f>
        <v>2989473.46</v>
      </c>
      <c r="L84" s="242">
        <f>+'Zał.1_WPF_bazowy'!L77</f>
        <v>1122446.05</v>
      </c>
      <c r="M84" s="242">
        <f>+'Zał.1_WPF_bazowy'!M77</f>
        <v>5872632.01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767543.08</v>
      </c>
      <c r="J85" s="242">
        <f>+'Zał.1_WPF_bazowy'!J78</f>
        <v>4037531.39</v>
      </c>
      <c r="K85" s="242">
        <f>+'Zał.1_WPF_bazowy'!K78</f>
        <v>1173704.15</v>
      </c>
      <c r="L85" s="242">
        <f>+'Zał.1_WPF_bazowy'!L78</f>
        <v>617916.14</v>
      </c>
      <c r="M85" s="242">
        <f>+'Zał.1_WPF_bazowy'!M78</f>
        <v>2977629.81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1540718.69</v>
      </c>
      <c r="J86" s="242">
        <f>+'Zał.1_WPF_bazowy'!J79</f>
        <v>6778558.93</v>
      </c>
      <c r="K86" s="242">
        <f>+'Zał.1_WPF_bazowy'!K79</f>
        <v>2989473.46</v>
      </c>
      <c r="L86" s="242">
        <f>+'Zał.1_WPF_bazowy'!L79</f>
        <v>1122446.05</v>
      </c>
      <c r="M86" s="242">
        <f>+'Zał.1_WPF_bazowy'!M79</f>
        <v>5872632.01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796741</v>
      </c>
      <c r="J87" s="242">
        <f>+'Zał.1_WPF_bazowy'!J80</f>
        <v>2783221.68</v>
      </c>
      <c r="K87" s="242">
        <f>+'Zał.1_WPF_bazowy'!K80</f>
        <v>1823829.31</v>
      </c>
      <c r="L87" s="242">
        <f>+'Zał.1_WPF_bazowy'!L80</f>
        <v>512589.91</v>
      </c>
      <c r="M87" s="242">
        <f>+'Zał.1_WPF_bazowy'!M80</f>
        <v>2907462.2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796741</v>
      </c>
      <c r="J88" s="242">
        <f>+'Zał.1_WPF_bazowy'!J81</f>
        <v>2783221.68</v>
      </c>
      <c r="K88" s="242">
        <f>+'Zał.1_WPF_bazowy'!K81</f>
        <v>1823829.31</v>
      </c>
      <c r="L88" s="242">
        <f>+'Zał.1_WPF_bazowy'!L81</f>
        <v>512589.91</v>
      </c>
      <c r="M88" s="242">
        <f>+'Zał.1_WPF_bazowy'!M81</f>
        <v>2907462.2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47711301.86</v>
      </c>
      <c r="J189" s="162">
        <f>J11+J18</f>
        <v>52024012.54</v>
      </c>
      <c r="K189" s="162">
        <f>K11+K18</f>
        <v>46173704.15</v>
      </c>
      <c r="L189" s="162">
        <f>L11+L18</f>
        <v>47617916.14</v>
      </c>
      <c r="M189" s="162">
        <f>M11+M18</f>
        <v>51977629.81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48930771.86</v>
      </c>
      <c r="J190" s="168">
        <f>J22+J30</f>
        <v>50345808.54</v>
      </c>
      <c r="K190" s="168">
        <f>K22+K30</f>
        <v>44313700.15</v>
      </c>
      <c r="L190" s="168">
        <f>L22+L30</f>
        <v>45407912.14</v>
      </c>
      <c r="M190" s="168">
        <f>M22+M30</f>
        <v>49767625.81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0.019533333333333326</v>
      </c>
      <c r="J200" s="195">
        <f>+IF(J10=0,"",J59-J54)</f>
        <v>0.002966666666666666</v>
      </c>
      <c r="K200" s="195">
        <f>+IF(K10=0,"",K59-K54)</f>
        <v>0.025233333333333337</v>
      </c>
      <c r="L200" s="195">
        <f>+IF(L10=0,"",L59-L54)</f>
        <v>0.05090000000000001</v>
      </c>
      <c r="M200" s="195">
        <f>+IF(M10=0,"",M59-M54)</f>
        <v>0.09483333333333333</v>
      </c>
      <c r="N200" s="195">
        <f>+IF(N10=0,"",N59-N54)</f>
        <v>0.0947</v>
      </c>
      <c r="O200" s="195">
        <f>+IF(O10=0,"",O59-O54)</f>
        <v>0.1204666666666667</v>
      </c>
      <c r="P200" s="195">
        <f>+IF(P10=0,"",P59-P54)</f>
        <v>0.16833333333333336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0.019533333333333326</v>
      </c>
      <c r="J201" s="201">
        <f>+IF(J10=0,"",J59-J55)</f>
        <v>0.002966666666666666</v>
      </c>
      <c r="K201" s="201">
        <f>+IF(K10=0,"",K59-K55)</f>
        <v>0.025233333333333337</v>
      </c>
      <c r="L201" s="201">
        <f>+IF(L10=0,"",L59-L55)</f>
        <v>0.05090000000000001</v>
      </c>
      <c r="M201" s="201">
        <f>+IF(M10=0,"",M59-M55)</f>
        <v>0.09483333333333333</v>
      </c>
      <c r="N201" s="201">
        <f>+IF(N10=0,"",N59-N55)</f>
        <v>0.0947</v>
      </c>
      <c r="O201" s="201">
        <f>+IF(O10=0,"",O59-O55)</f>
        <v>0.1204666666666667</v>
      </c>
      <c r="P201" s="201">
        <f>+IF(P10=0,"",P59-P55)</f>
        <v>0.16833333333333336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0.0353</v>
      </c>
      <c r="J202" s="195">
        <f>+IF(J10=0,"",J60-J54)</f>
        <v>0.0187</v>
      </c>
      <c r="K202" s="195">
        <f>+IF(K10=0,"",K60-K54)</f>
        <v>0.041</v>
      </c>
      <c r="L202" s="195">
        <f>+IF(L10=0,"",L60-L54)</f>
        <v>0.05090000000000001</v>
      </c>
      <c r="M202" s="195">
        <f>+IF(M10=0,"",M60-M54)</f>
        <v>0.0948</v>
      </c>
      <c r="N202" s="195">
        <f>+IF(N10=0,"",N60-N54)</f>
        <v>0.0947</v>
      </c>
      <c r="O202" s="195">
        <f>+IF(O10=0,"",O60-O54)</f>
        <v>0.1205</v>
      </c>
      <c r="P202" s="195">
        <f>+IF(P10=0,"",P60-P54)</f>
        <v>0.1683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0.0353</v>
      </c>
      <c r="J203" s="201">
        <f>+IF(J10=0,"",J60-J55)</f>
        <v>0.0187</v>
      </c>
      <c r="K203" s="201">
        <f>+IF(K10=0,"",K60-K55)</f>
        <v>0.041</v>
      </c>
      <c r="L203" s="201">
        <f>+IF(L10=0,"",L60-L55)</f>
        <v>0.05090000000000001</v>
      </c>
      <c r="M203" s="201">
        <f>+IF(M10=0,"",M60-M55)</f>
        <v>0.0948</v>
      </c>
      <c r="N203" s="201">
        <f>+IF(N10=0,"",N60-N55)</f>
        <v>0.0947</v>
      </c>
      <c r="O203" s="201">
        <f>+IF(O10=0,"",O60-O55)</f>
        <v>0.1205</v>
      </c>
      <c r="P203" s="201">
        <f>+IF(P10=0,"",P60-P55)</f>
        <v>0.1683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2</v>
      </c>
      <c r="M4" s="343">
        <v>2019</v>
      </c>
      <c r="N4" s="344">
        <v>0</v>
      </c>
      <c r="O4" s="345">
        <v>43069</v>
      </c>
      <c r="P4" s="345">
        <v>43069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1</v>
      </c>
      <c r="M5" s="343">
        <v>2018</v>
      </c>
      <c r="N5" s="344">
        <v>0</v>
      </c>
      <c r="O5" s="345">
        <v>43069</v>
      </c>
      <c r="P5" s="345">
        <v>43069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7</v>
      </c>
      <c r="M6" s="343">
        <v>2024</v>
      </c>
      <c r="N6" s="344">
        <v>0</v>
      </c>
      <c r="O6" s="345">
        <v>43069</v>
      </c>
      <c r="P6" s="345">
        <v>43069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2020</v>
      </c>
      <c r="N7" s="344">
        <v>0</v>
      </c>
      <c r="O7" s="345">
        <v>43069</v>
      </c>
      <c r="P7" s="345">
        <v>43069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4</v>
      </c>
      <c r="M8" s="343">
        <v>2021</v>
      </c>
      <c r="N8" s="344">
        <v>0</v>
      </c>
      <c r="O8" s="345">
        <v>43069</v>
      </c>
      <c r="P8" s="345">
        <v>43069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2017</v>
      </c>
      <c r="N9" s="344">
        <v>2412357.21</v>
      </c>
      <c r="O9" s="345">
        <v>43069</v>
      </c>
      <c r="P9" s="345">
        <v>43069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6</v>
      </c>
      <c r="M10" s="343">
        <v>2023</v>
      </c>
      <c r="N10" s="344">
        <v>0</v>
      </c>
      <c r="O10" s="345">
        <v>43069</v>
      </c>
      <c r="P10" s="345">
        <v>43069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2022</v>
      </c>
      <c r="N11" s="344">
        <v>0</v>
      </c>
      <c r="O11" s="345">
        <v>43069</v>
      </c>
      <c r="P11" s="345">
        <v>43069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8</v>
      </c>
      <c r="M12" s="343">
        <v>2025</v>
      </c>
      <c r="N12" s="344">
        <v>0</v>
      </c>
      <c r="O12" s="345">
        <v>43069</v>
      </c>
      <c r="P12" s="345">
        <v>43069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5</v>
      </c>
      <c r="M13" s="343">
        <v>2022</v>
      </c>
      <c r="N13" s="344">
        <v>0</v>
      </c>
      <c r="O13" s="345">
        <v>43069</v>
      </c>
      <c r="P13" s="345">
        <v>43069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2019</v>
      </c>
      <c r="N14" s="344">
        <v>0</v>
      </c>
      <c r="O14" s="345">
        <v>43069</v>
      </c>
      <c r="P14" s="345">
        <v>43069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1</v>
      </c>
      <c r="M15" s="343">
        <v>2018</v>
      </c>
      <c r="N15" s="344">
        <v>0</v>
      </c>
      <c r="O15" s="345">
        <v>43069</v>
      </c>
      <c r="P15" s="345">
        <v>43069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2021</v>
      </c>
      <c r="N16" s="344">
        <v>0</v>
      </c>
      <c r="O16" s="345">
        <v>43069</v>
      </c>
      <c r="P16" s="345">
        <v>43069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7</v>
      </c>
      <c r="M17" s="343">
        <v>2024</v>
      </c>
      <c r="N17" s="344">
        <v>0</v>
      </c>
      <c r="O17" s="345">
        <v>43069</v>
      </c>
      <c r="P17" s="345">
        <v>43069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6</v>
      </c>
      <c r="M18" s="343">
        <v>2023</v>
      </c>
      <c r="N18" s="344">
        <v>0</v>
      </c>
      <c r="O18" s="345">
        <v>43069</v>
      </c>
      <c r="P18" s="345">
        <v>43069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3</v>
      </c>
      <c r="M19" s="343">
        <v>2020</v>
      </c>
      <c r="N19" s="344">
        <v>0</v>
      </c>
      <c r="O19" s="345">
        <v>43069</v>
      </c>
      <c r="P19" s="345">
        <v>43069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8</v>
      </c>
      <c r="M20" s="343">
        <v>2025</v>
      </c>
      <c r="N20" s="344">
        <v>0</v>
      </c>
      <c r="O20" s="345">
        <v>43069</v>
      </c>
      <c r="P20" s="345">
        <v>43069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43069</v>
      </c>
      <c r="P21" s="345">
        <v>43069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2</v>
      </c>
      <c r="M22" s="343">
        <v>2019</v>
      </c>
      <c r="N22" s="344">
        <v>4573873.46</v>
      </c>
      <c r="O22" s="345">
        <v>43069</v>
      </c>
      <c r="P22" s="345">
        <v>43069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2025</v>
      </c>
      <c r="N23" s="344">
        <v>0</v>
      </c>
      <c r="O23" s="345">
        <v>43069</v>
      </c>
      <c r="P23" s="345">
        <v>43069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5902772.01</v>
      </c>
      <c r="O24" s="345">
        <v>43069</v>
      </c>
      <c r="P24" s="345">
        <v>43069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3</v>
      </c>
      <c r="M25" s="343">
        <v>2020</v>
      </c>
      <c r="N25" s="344">
        <v>1142746.05</v>
      </c>
      <c r="O25" s="345">
        <v>43069</v>
      </c>
      <c r="P25" s="345">
        <v>43069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2018</v>
      </c>
      <c r="N26" s="344">
        <v>8126882.49</v>
      </c>
      <c r="O26" s="345">
        <v>43069</v>
      </c>
      <c r="P26" s="345">
        <v>43069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6</v>
      </c>
      <c r="M27" s="343">
        <v>2023</v>
      </c>
      <c r="N27" s="344">
        <v>0</v>
      </c>
      <c r="O27" s="345">
        <v>43069</v>
      </c>
      <c r="P27" s="345">
        <v>43069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5</v>
      </c>
      <c r="M28" s="343">
        <v>2022</v>
      </c>
      <c r="N28" s="344">
        <v>0</v>
      </c>
      <c r="O28" s="345">
        <v>43069</v>
      </c>
      <c r="P28" s="345">
        <v>43069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2017</v>
      </c>
      <c r="N29" s="344">
        <v>208103.62</v>
      </c>
      <c r="O29" s="345">
        <v>43069</v>
      </c>
      <c r="P29" s="345">
        <v>43069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7</v>
      </c>
      <c r="M30" s="343">
        <v>2024</v>
      </c>
      <c r="N30" s="344">
        <v>0</v>
      </c>
      <c r="O30" s="345">
        <v>43069</v>
      </c>
      <c r="P30" s="345">
        <v>43069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2020</v>
      </c>
      <c r="N31" s="344">
        <v>617916.14</v>
      </c>
      <c r="O31" s="345">
        <v>43069</v>
      </c>
      <c r="P31" s="345">
        <v>43069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7</v>
      </c>
      <c r="M32" s="343">
        <v>2024</v>
      </c>
      <c r="N32" s="344">
        <v>0</v>
      </c>
      <c r="O32" s="345">
        <v>43069</v>
      </c>
      <c r="P32" s="345">
        <v>43069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0</v>
      </c>
      <c r="M33" s="343">
        <v>2017</v>
      </c>
      <c r="N33" s="344">
        <v>799078.34</v>
      </c>
      <c r="O33" s="345">
        <v>43069</v>
      </c>
      <c r="P33" s="345">
        <v>43069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1</v>
      </c>
      <c r="M34" s="343">
        <v>2018</v>
      </c>
      <c r="N34" s="344">
        <v>4037531.39</v>
      </c>
      <c r="O34" s="345">
        <v>43069</v>
      </c>
      <c r="P34" s="345">
        <v>43069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2019</v>
      </c>
      <c r="N35" s="344">
        <v>1173704.15</v>
      </c>
      <c r="O35" s="345">
        <v>43069</v>
      </c>
      <c r="P35" s="345">
        <v>43069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5</v>
      </c>
      <c r="M36" s="343">
        <v>2022</v>
      </c>
      <c r="N36" s="344">
        <v>0</v>
      </c>
      <c r="O36" s="345">
        <v>43069</v>
      </c>
      <c r="P36" s="345">
        <v>43069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43069</v>
      </c>
      <c r="P37" s="345">
        <v>43069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2021</v>
      </c>
      <c r="N38" s="344">
        <v>2977629.81</v>
      </c>
      <c r="O38" s="345">
        <v>43069</v>
      </c>
      <c r="P38" s="345">
        <v>43069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6</v>
      </c>
      <c r="M39" s="343">
        <v>2023</v>
      </c>
      <c r="N39" s="344">
        <v>0</v>
      </c>
      <c r="O39" s="345">
        <v>43069</v>
      </c>
      <c r="P39" s="345">
        <v>43069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43069</v>
      </c>
      <c r="P40" s="345">
        <v>43069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0</v>
      </c>
      <c r="M41" s="343">
        <v>2017</v>
      </c>
      <c r="N41" s="344">
        <v>0</v>
      </c>
      <c r="O41" s="345">
        <v>43069</v>
      </c>
      <c r="P41" s="345">
        <v>43069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6</v>
      </c>
      <c r="M42" s="343">
        <v>2023</v>
      </c>
      <c r="N42" s="344">
        <v>0</v>
      </c>
      <c r="O42" s="345">
        <v>43069</v>
      </c>
      <c r="P42" s="345">
        <v>43069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2019</v>
      </c>
      <c r="N43" s="344">
        <v>0</v>
      </c>
      <c r="O43" s="345">
        <v>43069</v>
      </c>
      <c r="P43" s="345">
        <v>43069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2018</v>
      </c>
      <c r="N44" s="344">
        <v>0</v>
      </c>
      <c r="O44" s="345">
        <v>43069</v>
      </c>
      <c r="P44" s="345">
        <v>43069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2021</v>
      </c>
      <c r="N45" s="344">
        <v>0</v>
      </c>
      <c r="O45" s="345">
        <v>43069</v>
      </c>
      <c r="P45" s="345">
        <v>43069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2022</v>
      </c>
      <c r="N46" s="344">
        <v>0</v>
      </c>
      <c r="O46" s="345">
        <v>43069</v>
      </c>
      <c r="P46" s="345">
        <v>43069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7</v>
      </c>
      <c r="M47" s="343">
        <v>2024</v>
      </c>
      <c r="N47" s="344">
        <v>0</v>
      </c>
      <c r="O47" s="345">
        <v>43069</v>
      </c>
      <c r="P47" s="345">
        <v>43069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8</v>
      </c>
      <c r="M48" s="343">
        <v>2025</v>
      </c>
      <c r="N48" s="344">
        <v>0</v>
      </c>
      <c r="O48" s="345">
        <v>43069</v>
      </c>
      <c r="P48" s="345">
        <v>43069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6</v>
      </c>
      <c r="M49" s="343">
        <v>2023</v>
      </c>
      <c r="N49" s="344">
        <v>1205</v>
      </c>
      <c r="O49" s="345">
        <v>43069</v>
      </c>
      <c r="P49" s="345">
        <v>43069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8</v>
      </c>
      <c r="M50" s="343">
        <v>2025</v>
      </c>
      <c r="N50" s="344">
        <v>2111</v>
      </c>
      <c r="O50" s="345">
        <v>43069</v>
      </c>
      <c r="P50" s="345">
        <v>43069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7</v>
      </c>
      <c r="M51" s="343">
        <v>2024</v>
      </c>
      <c r="N51" s="344">
        <v>1683</v>
      </c>
      <c r="O51" s="345">
        <v>43069</v>
      </c>
      <c r="P51" s="345">
        <v>43069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3</v>
      </c>
      <c r="M52" s="343">
        <v>2020</v>
      </c>
      <c r="N52" s="344">
        <v>509</v>
      </c>
      <c r="O52" s="345">
        <v>43069</v>
      </c>
      <c r="P52" s="345">
        <v>43069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2019</v>
      </c>
      <c r="N53" s="344">
        <v>252</v>
      </c>
      <c r="O53" s="345">
        <v>43069</v>
      </c>
      <c r="P53" s="345">
        <v>43069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4</v>
      </c>
      <c r="M54" s="343">
        <v>2021</v>
      </c>
      <c r="N54" s="344">
        <v>948</v>
      </c>
      <c r="O54" s="345">
        <v>43069</v>
      </c>
      <c r="P54" s="345">
        <v>43069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0</v>
      </c>
      <c r="M55" s="343">
        <v>2017</v>
      </c>
      <c r="N55" s="344">
        <v>195</v>
      </c>
      <c r="O55" s="345">
        <v>43069</v>
      </c>
      <c r="P55" s="345">
        <v>43069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1</v>
      </c>
      <c r="M56" s="343">
        <v>2018</v>
      </c>
      <c r="N56" s="344">
        <v>30</v>
      </c>
      <c r="O56" s="345">
        <v>43069</v>
      </c>
      <c r="P56" s="345">
        <v>43069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5</v>
      </c>
      <c r="M57" s="343">
        <v>2022</v>
      </c>
      <c r="N57" s="344">
        <v>947</v>
      </c>
      <c r="O57" s="345">
        <v>43069</v>
      </c>
      <c r="P57" s="345">
        <v>43069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29">TRUE</f>
        <v>1</v>
      </c>
      <c r="L58" s="342">
        <v>5</v>
      </c>
      <c r="M58" s="343">
        <v>2022</v>
      </c>
      <c r="N58" s="344">
        <v>0</v>
      </c>
      <c r="O58" s="345">
        <v>43069</v>
      </c>
      <c r="P58" s="345">
        <v>43069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8</v>
      </c>
      <c r="M59" s="343">
        <v>2025</v>
      </c>
      <c r="N59" s="344">
        <v>0</v>
      </c>
      <c r="O59" s="345">
        <v>43069</v>
      </c>
      <c r="P59" s="345">
        <v>43069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6</v>
      </c>
      <c r="M60" s="343">
        <v>2023</v>
      </c>
      <c r="N60" s="344">
        <v>0</v>
      </c>
      <c r="O60" s="345">
        <v>43069</v>
      </c>
      <c r="P60" s="345">
        <v>43069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2021</v>
      </c>
      <c r="N61" s="344">
        <v>0</v>
      </c>
      <c r="O61" s="345">
        <v>43069</v>
      </c>
      <c r="P61" s="345">
        <v>43069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1</v>
      </c>
      <c r="M62" s="343">
        <v>2018</v>
      </c>
      <c r="N62" s="344">
        <v>0</v>
      </c>
      <c r="O62" s="345">
        <v>43069</v>
      </c>
      <c r="P62" s="345">
        <v>43069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3</v>
      </c>
      <c r="M63" s="343">
        <v>2020</v>
      </c>
      <c r="N63" s="344">
        <v>0</v>
      </c>
      <c r="O63" s="345">
        <v>43069</v>
      </c>
      <c r="P63" s="345">
        <v>43069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2024</v>
      </c>
      <c r="N64" s="344">
        <v>0</v>
      </c>
      <c r="O64" s="345">
        <v>43069</v>
      </c>
      <c r="P64" s="345">
        <v>43069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0</v>
      </c>
      <c r="M65" s="343">
        <v>2017</v>
      </c>
      <c r="N65" s="344">
        <v>0</v>
      </c>
      <c r="O65" s="345">
        <v>43069</v>
      </c>
      <c r="P65" s="345">
        <v>43069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43069</v>
      </c>
      <c r="P66" s="345">
        <v>43069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1</v>
      </c>
      <c r="M67" s="343">
        <v>2018</v>
      </c>
      <c r="N67" s="344">
        <v>1678204</v>
      </c>
      <c r="O67" s="345">
        <v>43069</v>
      </c>
      <c r="P67" s="345">
        <v>43069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2020</v>
      </c>
      <c r="N68" s="344">
        <v>2210004</v>
      </c>
      <c r="O68" s="345">
        <v>43069</v>
      </c>
      <c r="P68" s="345">
        <v>43069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8</v>
      </c>
      <c r="M69" s="343">
        <v>2025</v>
      </c>
      <c r="N69" s="344">
        <v>0</v>
      </c>
      <c r="O69" s="345">
        <v>43069</v>
      </c>
      <c r="P69" s="345">
        <v>43069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7</v>
      </c>
      <c r="M70" s="343">
        <v>2024</v>
      </c>
      <c r="N70" s="344">
        <v>1250000</v>
      </c>
      <c r="O70" s="345">
        <v>43069</v>
      </c>
      <c r="P70" s="345">
        <v>43069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4</v>
      </c>
      <c r="M71" s="343">
        <v>2021</v>
      </c>
      <c r="N71" s="344">
        <v>2210004</v>
      </c>
      <c r="O71" s="345">
        <v>43069</v>
      </c>
      <c r="P71" s="345">
        <v>43069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0</v>
      </c>
      <c r="M72" s="343">
        <v>2017</v>
      </c>
      <c r="N72" s="344">
        <v>1478204</v>
      </c>
      <c r="O72" s="345">
        <v>43069</v>
      </c>
      <c r="P72" s="345">
        <v>43069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2</v>
      </c>
      <c r="M73" s="343">
        <v>2019</v>
      </c>
      <c r="N73" s="344">
        <v>1860004</v>
      </c>
      <c r="O73" s="345">
        <v>43069</v>
      </c>
      <c r="P73" s="345">
        <v>43069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43069</v>
      </c>
      <c r="P74" s="345">
        <v>43069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5</v>
      </c>
      <c r="M75" s="343">
        <v>2022</v>
      </c>
      <c r="N75" s="344">
        <v>2250004</v>
      </c>
      <c r="O75" s="345">
        <v>43069</v>
      </c>
      <c r="P75" s="345">
        <v>43069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5</v>
      </c>
      <c r="M76" s="343">
        <v>2022</v>
      </c>
      <c r="N76" s="344">
        <v>0</v>
      </c>
      <c r="O76" s="345">
        <v>43069</v>
      </c>
      <c r="P76" s="345">
        <v>43069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3</v>
      </c>
      <c r="M77" s="343">
        <v>2020</v>
      </c>
      <c r="N77" s="344">
        <v>140000</v>
      </c>
      <c r="O77" s="345">
        <v>43069</v>
      </c>
      <c r="P77" s="345">
        <v>43069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2017</v>
      </c>
      <c r="N78" s="344">
        <v>140000</v>
      </c>
      <c r="O78" s="345">
        <v>43069</v>
      </c>
      <c r="P78" s="345">
        <v>43069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43069</v>
      </c>
      <c r="P79" s="345">
        <v>43069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2</v>
      </c>
      <c r="M80" s="343">
        <v>2019</v>
      </c>
      <c r="N80" s="344">
        <v>140000</v>
      </c>
      <c r="O80" s="345">
        <v>43069</v>
      </c>
      <c r="P80" s="345">
        <v>43069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8</v>
      </c>
      <c r="M81" s="343">
        <v>2025</v>
      </c>
      <c r="N81" s="344">
        <v>0</v>
      </c>
      <c r="O81" s="345">
        <v>43069</v>
      </c>
      <c r="P81" s="345">
        <v>43069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2021</v>
      </c>
      <c r="N82" s="344">
        <v>0</v>
      </c>
      <c r="O82" s="345">
        <v>43069</v>
      </c>
      <c r="P82" s="345">
        <v>43069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6</v>
      </c>
      <c r="M83" s="343">
        <v>2023</v>
      </c>
      <c r="N83" s="344">
        <v>0</v>
      </c>
      <c r="O83" s="345">
        <v>43069</v>
      </c>
      <c r="P83" s="345">
        <v>43069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1</v>
      </c>
      <c r="M84" s="343">
        <v>2018</v>
      </c>
      <c r="N84" s="344">
        <v>140000</v>
      </c>
      <c r="O84" s="345">
        <v>43069</v>
      </c>
      <c r="P84" s="345">
        <v>43069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4</v>
      </c>
      <c r="M85" s="343">
        <v>2021</v>
      </c>
      <c r="N85" s="344">
        <v>0</v>
      </c>
      <c r="O85" s="345">
        <v>43069</v>
      </c>
      <c r="P85" s="345">
        <v>43069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6</v>
      </c>
      <c r="M86" s="343">
        <v>2023</v>
      </c>
      <c r="N86" s="344">
        <v>0</v>
      </c>
      <c r="O86" s="345">
        <v>43069</v>
      </c>
      <c r="P86" s="345">
        <v>43069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43069</v>
      </c>
      <c r="P87" s="345">
        <v>43069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43069</v>
      </c>
      <c r="P88" s="345">
        <v>43069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8</v>
      </c>
      <c r="M89" s="343">
        <v>2025</v>
      </c>
      <c r="N89" s="344">
        <v>0</v>
      </c>
      <c r="O89" s="345">
        <v>43069</v>
      </c>
      <c r="P89" s="345">
        <v>43069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2022</v>
      </c>
      <c r="N90" s="344">
        <v>0</v>
      </c>
      <c r="O90" s="345">
        <v>43069</v>
      </c>
      <c r="P90" s="345">
        <v>43069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2019</v>
      </c>
      <c r="N91" s="344">
        <v>0</v>
      </c>
      <c r="O91" s="345">
        <v>43069</v>
      </c>
      <c r="P91" s="345">
        <v>43069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7</v>
      </c>
      <c r="M92" s="343">
        <v>2024</v>
      </c>
      <c r="N92" s="344">
        <v>0</v>
      </c>
      <c r="O92" s="345">
        <v>43069</v>
      </c>
      <c r="P92" s="345">
        <v>43069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2020</v>
      </c>
      <c r="N93" s="344">
        <v>0</v>
      </c>
      <c r="O93" s="345">
        <v>43069</v>
      </c>
      <c r="P93" s="345">
        <v>43069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1</v>
      </c>
      <c r="M94" s="343">
        <v>2018</v>
      </c>
      <c r="N94" s="344">
        <v>0</v>
      </c>
      <c r="O94" s="345">
        <v>43069</v>
      </c>
      <c r="P94" s="345">
        <v>43069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3"/>
        <v>1</v>
      </c>
      <c r="L95" s="342">
        <v>7</v>
      </c>
      <c r="M95" s="343">
        <v>2024</v>
      </c>
      <c r="N95" s="344">
        <v>0</v>
      </c>
      <c r="O95" s="345">
        <v>43069</v>
      </c>
      <c r="P95" s="345">
        <v>43069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150</v>
      </c>
      <c r="H96" s="341" t="s">
        <v>47</v>
      </c>
      <c r="I96" s="341"/>
      <c r="J96" s="341" t="s">
        <v>48</v>
      </c>
      <c r="K96" s="342" t="b">
        <f t="shared" si="3"/>
        <v>1</v>
      </c>
      <c r="L96" s="342">
        <v>0</v>
      </c>
      <c r="M96" s="343">
        <v>2017</v>
      </c>
      <c r="N96" s="344">
        <v>0</v>
      </c>
      <c r="O96" s="345">
        <v>43069</v>
      </c>
      <c r="P96" s="345">
        <v>43069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8</v>
      </c>
      <c r="M97" s="343">
        <v>2025</v>
      </c>
      <c r="N97" s="344">
        <v>0</v>
      </c>
      <c r="O97" s="345">
        <v>43069</v>
      </c>
      <c r="P97" s="345">
        <v>43069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2020</v>
      </c>
      <c r="N98" s="344">
        <v>0</v>
      </c>
      <c r="O98" s="345">
        <v>43069</v>
      </c>
      <c r="P98" s="345">
        <v>43069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43069</v>
      </c>
      <c r="P99" s="345">
        <v>43069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5</v>
      </c>
      <c r="M100" s="343">
        <v>2022</v>
      </c>
      <c r="N100" s="344">
        <v>0</v>
      </c>
      <c r="O100" s="345">
        <v>43069</v>
      </c>
      <c r="P100" s="345">
        <v>43069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43069</v>
      </c>
      <c r="P101" s="345">
        <v>43069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2</v>
      </c>
      <c r="M102" s="343">
        <v>2019</v>
      </c>
      <c r="N102" s="344">
        <v>0</v>
      </c>
      <c r="O102" s="345">
        <v>43069</v>
      </c>
      <c r="P102" s="345">
        <v>43069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2023</v>
      </c>
      <c r="N103" s="344">
        <v>0</v>
      </c>
      <c r="O103" s="345">
        <v>43069</v>
      </c>
      <c r="P103" s="345">
        <v>43069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2025</v>
      </c>
      <c r="N104" s="344">
        <v>0</v>
      </c>
      <c r="O104" s="345">
        <v>43069</v>
      </c>
      <c r="P104" s="345">
        <v>43069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2020</v>
      </c>
      <c r="N105" s="344">
        <v>0</v>
      </c>
      <c r="O105" s="345">
        <v>43069</v>
      </c>
      <c r="P105" s="345">
        <v>43069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4</v>
      </c>
      <c r="M106" s="343">
        <v>2021</v>
      </c>
      <c r="N106" s="344">
        <v>0</v>
      </c>
      <c r="O106" s="345">
        <v>43069</v>
      </c>
      <c r="P106" s="345">
        <v>43069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2</v>
      </c>
      <c r="M107" s="343">
        <v>2019</v>
      </c>
      <c r="N107" s="344">
        <v>0</v>
      </c>
      <c r="O107" s="345">
        <v>43069</v>
      </c>
      <c r="P107" s="345">
        <v>43069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7</v>
      </c>
      <c r="M108" s="343">
        <v>2024</v>
      </c>
      <c r="N108" s="344">
        <v>0</v>
      </c>
      <c r="O108" s="345">
        <v>43069</v>
      </c>
      <c r="P108" s="345">
        <v>43069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6</v>
      </c>
      <c r="M109" s="343">
        <v>2023</v>
      </c>
      <c r="N109" s="344">
        <v>0</v>
      </c>
      <c r="O109" s="345">
        <v>43069</v>
      </c>
      <c r="P109" s="345">
        <v>43069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1</v>
      </c>
      <c r="M110" s="343">
        <v>2018</v>
      </c>
      <c r="N110" s="344">
        <v>0</v>
      </c>
      <c r="O110" s="345">
        <v>43069</v>
      </c>
      <c r="P110" s="345">
        <v>43069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43069</v>
      </c>
      <c r="P111" s="345">
        <v>43069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7</v>
      </c>
      <c r="M112" s="343">
        <v>2024</v>
      </c>
      <c r="N112" s="344">
        <v>0</v>
      </c>
      <c r="O112" s="345">
        <v>43069</v>
      </c>
      <c r="P112" s="345">
        <v>43069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2</v>
      </c>
      <c r="M113" s="343">
        <v>2019</v>
      </c>
      <c r="N113" s="344">
        <v>0</v>
      </c>
      <c r="O113" s="345">
        <v>43069</v>
      </c>
      <c r="P113" s="345">
        <v>43069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0</v>
      </c>
      <c r="M114" s="343">
        <v>2017</v>
      </c>
      <c r="N114" s="344">
        <v>0</v>
      </c>
      <c r="O114" s="345">
        <v>43069</v>
      </c>
      <c r="P114" s="345">
        <v>43069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6</v>
      </c>
      <c r="M115" s="343">
        <v>2023</v>
      </c>
      <c r="N115" s="344">
        <v>0</v>
      </c>
      <c r="O115" s="345">
        <v>43069</v>
      </c>
      <c r="P115" s="345">
        <v>43069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8</v>
      </c>
      <c r="M116" s="343">
        <v>2025</v>
      </c>
      <c r="N116" s="344">
        <v>0</v>
      </c>
      <c r="O116" s="345">
        <v>43069</v>
      </c>
      <c r="P116" s="345">
        <v>43069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3</v>
      </c>
      <c r="M117" s="343">
        <v>2020</v>
      </c>
      <c r="N117" s="344">
        <v>0</v>
      </c>
      <c r="O117" s="345">
        <v>43069</v>
      </c>
      <c r="P117" s="345">
        <v>43069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5</v>
      </c>
      <c r="M118" s="343">
        <v>2022</v>
      </c>
      <c r="N118" s="344">
        <v>0</v>
      </c>
      <c r="O118" s="345">
        <v>43069</v>
      </c>
      <c r="P118" s="345">
        <v>43069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43069</v>
      </c>
      <c r="P119" s="345">
        <v>43069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43069</v>
      </c>
      <c r="P120" s="345">
        <v>43069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5</v>
      </c>
      <c r="M121" s="343">
        <v>2022</v>
      </c>
      <c r="N121" s="344">
        <v>0</v>
      </c>
      <c r="O121" s="345">
        <v>43069</v>
      </c>
      <c r="P121" s="345">
        <v>43069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3</v>
      </c>
      <c r="M122" s="343">
        <v>2020</v>
      </c>
      <c r="N122" s="344">
        <v>0</v>
      </c>
      <c r="O122" s="345">
        <v>43069</v>
      </c>
      <c r="P122" s="345">
        <v>43069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2</v>
      </c>
      <c r="M123" s="343">
        <v>2019</v>
      </c>
      <c r="N123" s="344">
        <v>0</v>
      </c>
      <c r="O123" s="345">
        <v>43069</v>
      </c>
      <c r="P123" s="345">
        <v>43069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7</v>
      </c>
      <c r="M124" s="343">
        <v>2024</v>
      </c>
      <c r="N124" s="344">
        <v>0</v>
      </c>
      <c r="O124" s="345">
        <v>43069</v>
      </c>
      <c r="P124" s="345">
        <v>43069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43069</v>
      </c>
      <c r="P125" s="345">
        <v>43069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43069</v>
      </c>
      <c r="P126" s="345">
        <v>43069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2021</v>
      </c>
      <c r="N127" s="344">
        <v>0</v>
      </c>
      <c r="O127" s="345">
        <v>43069</v>
      </c>
      <c r="P127" s="345">
        <v>43069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3"/>
        <v>1</v>
      </c>
      <c r="L128" s="342">
        <v>6</v>
      </c>
      <c r="M128" s="343">
        <v>2023</v>
      </c>
      <c r="N128" s="344">
        <v>0</v>
      </c>
      <c r="O128" s="345">
        <v>43069</v>
      </c>
      <c r="P128" s="345">
        <v>43069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2018</v>
      </c>
      <c r="N129" s="344">
        <v>0</v>
      </c>
      <c r="O129" s="345">
        <v>43069</v>
      </c>
      <c r="P129" s="345">
        <v>43069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4" ref="K130:K138">FALSE</f>
        <v>0</v>
      </c>
      <c r="L130" s="342">
        <v>4</v>
      </c>
      <c r="M130" s="343">
        <v>2021</v>
      </c>
      <c r="N130" s="344">
        <v>0</v>
      </c>
      <c r="O130" s="345">
        <v>43069</v>
      </c>
      <c r="P130" s="345">
        <v>43069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4"/>
        <v>0</v>
      </c>
      <c r="L131" s="342">
        <v>2</v>
      </c>
      <c r="M131" s="343">
        <v>2019</v>
      </c>
      <c r="N131" s="344">
        <v>0</v>
      </c>
      <c r="O131" s="345">
        <v>43069</v>
      </c>
      <c r="P131" s="345">
        <v>43069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6</v>
      </c>
      <c r="M132" s="343">
        <v>2023</v>
      </c>
      <c r="N132" s="344">
        <v>0</v>
      </c>
      <c r="O132" s="345">
        <v>43069</v>
      </c>
      <c r="P132" s="345">
        <v>43069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3</v>
      </c>
      <c r="M133" s="343">
        <v>2020</v>
      </c>
      <c r="N133" s="344">
        <v>0</v>
      </c>
      <c r="O133" s="345">
        <v>43069</v>
      </c>
      <c r="P133" s="345">
        <v>43069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2024</v>
      </c>
      <c r="N134" s="344">
        <v>0</v>
      </c>
      <c r="O134" s="345">
        <v>43069</v>
      </c>
      <c r="P134" s="345">
        <v>43069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5</v>
      </c>
      <c r="M135" s="343">
        <v>2022</v>
      </c>
      <c r="N135" s="344">
        <v>0</v>
      </c>
      <c r="O135" s="345">
        <v>43069</v>
      </c>
      <c r="P135" s="345">
        <v>43069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1</v>
      </c>
      <c r="M136" s="343">
        <v>2018</v>
      </c>
      <c r="N136" s="344">
        <v>0</v>
      </c>
      <c r="O136" s="345">
        <v>43069</v>
      </c>
      <c r="P136" s="345">
        <v>43069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0</v>
      </c>
      <c r="M137" s="343">
        <v>2017</v>
      </c>
      <c r="N137" s="344">
        <v>0</v>
      </c>
      <c r="O137" s="345">
        <v>43069</v>
      </c>
      <c r="P137" s="345">
        <v>43069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8</v>
      </c>
      <c r="M138" s="343">
        <v>2025</v>
      </c>
      <c r="N138" s="344">
        <v>0</v>
      </c>
      <c r="O138" s="345">
        <v>43069</v>
      </c>
      <c r="P138" s="345">
        <v>43069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5" ref="K139:K210">TRUE</f>
        <v>1</v>
      </c>
      <c r="L139" s="342">
        <v>6</v>
      </c>
      <c r="M139" s="343">
        <v>2023</v>
      </c>
      <c r="N139" s="344">
        <v>0</v>
      </c>
      <c r="O139" s="345">
        <v>43069</v>
      </c>
      <c r="P139" s="345">
        <v>43069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5"/>
        <v>1</v>
      </c>
      <c r="L140" s="342">
        <v>0</v>
      </c>
      <c r="M140" s="343">
        <v>2017</v>
      </c>
      <c r="N140" s="344">
        <v>0</v>
      </c>
      <c r="O140" s="345">
        <v>43069</v>
      </c>
      <c r="P140" s="345">
        <v>43069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2</v>
      </c>
      <c r="M141" s="343">
        <v>2019</v>
      </c>
      <c r="N141" s="344">
        <v>0</v>
      </c>
      <c r="O141" s="345">
        <v>43069</v>
      </c>
      <c r="P141" s="345">
        <v>43069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43069</v>
      </c>
      <c r="P142" s="345">
        <v>43069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2020</v>
      </c>
      <c r="N143" s="344">
        <v>0</v>
      </c>
      <c r="O143" s="345">
        <v>43069</v>
      </c>
      <c r="P143" s="345">
        <v>43069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1</v>
      </c>
      <c r="M144" s="343">
        <v>2018</v>
      </c>
      <c r="N144" s="344">
        <v>0</v>
      </c>
      <c r="O144" s="345">
        <v>43069</v>
      </c>
      <c r="P144" s="345">
        <v>43069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4</v>
      </c>
      <c r="M145" s="343">
        <v>2021</v>
      </c>
      <c r="N145" s="344">
        <v>0</v>
      </c>
      <c r="O145" s="345">
        <v>43069</v>
      </c>
      <c r="P145" s="345">
        <v>43069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5</v>
      </c>
      <c r="M146" s="343">
        <v>2022</v>
      </c>
      <c r="N146" s="344">
        <v>0</v>
      </c>
      <c r="O146" s="345">
        <v>43069</v>
      </c>
      <c r="P146" s="345">
        <v>43069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7</v>
      </c>
      <c r="M147" s="343">
        <v>2024</v>
      </c>
      <c r="N147" s="344">
        <v>0</v>
      </c>
      <c r="O147" s="345">
        <v>43069</v>
      </c>
      <c r="P147" s="345">
        <v>43069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5"/>
        <v>1</v>
      </c>
      <c r="L148" s="342">
        <v>2</v>
      </c>
      <c r="M148" s="343">
        <v>2019</v>
      </c>
      <c r="N148" s="344">
        <v>1173704.15</v>
      </c>
      <c r="O148" s="345">
        <v>43069</v>
      </c>
      <c r="P148" s="345">
        <v>43069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43069</v>
      </c>
      <c r="P149" s="345">
        <v>43069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4037531.39</v>
      </c>
      <c r="O150" s="345">
        <v>43069</v>
      </c>
      <c r="P150" s="345">
        <v>43069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43069</v>
      </c>
      <c r="P151" s="345">
        <v>43069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0</v>
      </c>
      <c r="M152" s="343">
        <v>2017</v>
      </c>
      <c r="N152" s="344">
        <v>3969345.34</v>
      </c>
      <c r="O152" s="345">
        <v>43069</v>
      </c>
      <c r="P152" s="345">
        <v>43069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2021</v>
      </c>
      <c r="N153" s="344">
        <v>2977629.81</v>
      </c>
      <c r="O153" s="345">
        <v>43069</v>
      </c>
      <c r="P153" s="345">
        <v>43069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43069</v>
      </c>
      <c r="P154" s="345">
        <v>43069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2020</v>
      </c>
      <c r="N155" s="344">
        <v>617916.14</v>
      </c>
      <c r="O155" s="345">
        <v>43069</v>
      </c>
      <c r="P155" s="345">
        <v>43069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7</v>
      </c>
      <c r="M156" s="343">
        <v>2024</v>
      </c>
      <c r="N156" s="344">
        <v>0</v>
      </c>
      <c r="O156" s="345">
        <v>43069</v>
      </c>
      <c r="P156" s="345">
        <v>43069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0</v>
      </c>
      <c r="M157" s="343">
        <v>2017</v>
      </c>
      <c r="N157" s="344">
        <v>0</v>
      </c>
      <c r="O157" s="345">
        <v>43069</v>
      </c>
      <c r="P157" s="345">
        <v>43069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4</v>
      </c>
      <c r="M158" s="343">
        <v>2021</v>
      </c>
      <c r="N158" s="344">
        <v>0</v>
      </c>
      <c r="O158" s="345">
        <v>43069</v>
      </c>
      <c r="P158" s="345">
        <v>43069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7</v>
      </c>
      <c r="M159" s="343">
        <v>2024</v>
      </c>
      <c r="N159" s="344">
        <v>0</v>
      </c>
      <c r="O159" s="345">
        <v>43069</v>
      </c>
      <c r="P159" s="345">
        <v>43069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2</v>
      </c>
      <c r="M160" s="343">
        <v>2019</v>
      </c>
      <c r="N160" s="344">
        <v>0</v>
      </c>
      <c r="O160" s="345">
        <v>43069</v>
      </c>
      <c r="P160" s="345">
        <v>43069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1</v>
      </c>
      <c r="M161" s="343">
        <v>2018</v>
      </c>
      <c r="N161" s="344">
        <v>0</v>
      </c>
      <c r="O161" s="345">
        <v>43069</v>
      </c>
      <c r="P161" s="345">
        <v>43069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43069</v>
      </c>
      <c r="P162" s="345">
        <v>43069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3</v>
      </c>
      <c r="M163" s="343">
        <v>2020</v>
      </c>
      <c r="N163" s="344">
        <v>0</v>
      </c>
      <c r="O163" s="345">
        <v>43069</v>
      </c>
      <c r="P163" s="345">
        <v>43069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6</v>
      </c>
      <c r="M164" s="343">
        <v>2023</v>
      </c>
      <c r="N164" s="344">
        <v>0</v>
      </c>
      <c r="O164" s="345">
        <v>43069</v>
      </c>
      <c r="P164" s="345">
        <v>43069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5</v>
      </c>
      <c r="M165" s="343">
        <v>2022</v>
      </c>
      <c r="N165" s="344">
        <v>0</v>
      </c>
      <c r="O165" s="345">
        <v>43069</v>
      </c>
      <c r="P165" s="345">
        <v>43069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7</v>
      </c>
      <c r="M166" s="343">
        <v>2024</v>
      </c>
      <c r="N166" s="344">
        <v>0</v>
      </c>
      <c r="O166" s="345">
        <v>43069</v>
      </c>
      <c r="P166" s="345">
        <v>43069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5</v>
      </c>
      <c r="M167" s="343">
        <v>2022</v>
      </c>
      <c r="N167" s="344">
        <v>0</v>
      </c>
      <c r="O167" s="345">
        <v>43069</v>
      </c>
      <c r="P167" s="345">
        <v>43069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0</v>
      </c>
      <c r="M168" s="343">
        <v>2017</v>
      </c>
      <c r="N168" s="344">
        <v>0</v>
      </c>
      <c r="O168" s="345">
        <v>43069</v>
      </c>
      <c r="P168" s="345">
        <v>43069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2018</v>
      </c>
      <c r="N169" s="344">
        <v>0</v>
      </c>
      <c r="O169" s="345">
        <v>43069</v>
      </c>
      <c r="P169" s="345">
        <v>43069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4</v>
      </c>
      <c r="M170" s="343">
        <v>2021</v>
      </c>
      <c r="N170" s="344">
        <v>0</v>
      </c>
      <c r="O170" s="345">
        <v>43069</v>
      </c>
      <c r="P170" s="345">
        <v>43069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6</v>
      </c>
      <c r="M171" s="343">
        <v>2023</v>
      </c>
      <c r="N171" s="344">
        <v>0</v>
      </c>
      <c r="O171" s="345">
        <v>43069</v>
      </c>
      <c r="P171" s="345">
        <v>43069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8</v>
      </c>
      <c r="M172" s="343">
        <v>2025</v>
      </c>
      <c r="N172" s="344">
        <v>0</v>
      </c>
      <c r="O172" s="345">
        <v>43069</v>
      </c>
      <c r="P172" s="345">
        <v>43069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2020</v>
      </c>
      <c r="N173" s="344">
        <v>0</v>
      </c>
      <c r="O173" s="345">
        <v>43069</v>
      </c>
      <c r="P173" s="345">
        <v>43069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2</v>
      </c>
      <c r="M174" s="343">
        <v>2019</v>
      </c>
      <c r="N174" s="344">
        <v>0</v>
      </c>
      <c r="O174" s="345">
        <v>43069</v>
      </c>
      <c r="P174" s="345">
        <v>43069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2022</v>
      </c>
      <c r="N175" s="344">
        <v>0</v>
      </c>
      <c r="O175" s="345">
        <v>43069</v>
      </c>
      <c r="P175" s="345">
        <v>43069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2</v>
      </c>
      <c r="M176" s="343">
        <v>2019</v>
      </c>
      <c r="N176" s="344">
        <v>118400</v>
      </c>
      <c r="O176" s="345">
        <v>43069</v>
      </c>
      <c r="P176" s="345">
        <v>43069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7</v>
      </c>
      <c r="M177" s="343">
        <v>2024</v>
      </c>
      <c r="N177" s="344">
        <v>0</v>
      </c>
      <c r="O177" s="345">
        <v>43069</v>
      </c>
      <c r="P177" s="345">
        <v>43069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288323.56</v>
      </c>
      <c r="O178" s="345">
        <v>43069</v>
      </c>
      <c r="P178" s="345">
        <v>43069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4</v>
      </c>
      <c r="M179" s="343">
        <v>2021</v>
      </c>
      <c r="N179" s="344">
        <v>30140</v>
      </c>
      <c r="O179" s="345">
        <v>43069</v>
      </c>
      <c r="P179" s="345">
        <v>43069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8</v>
      </c>
      <c r="M180" s="343">
        <v>2025</v>
      </c>
      <c r="N180" s="344">
        <v>0</v>
      </c>
      <c r="O180" s="345">
        <v>43069</v>
      </c>
      <c r="P180" s="345">
        <v>43069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6</v>
      </c>
      <c r="M181" s="343">
        <v>2023</v>
      </c>
      <c r="N181" s="344">
        <v>0</v>
      </c>
      <c r="O181" s="345">
        <v>43069</v>
      </c>
      <c r="P181" s="345">
        <v>43069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2020</v>
      </c>
      <c r="N182" s="344">
        <v>20300</v>
      </c>
      <c r="O182" s="345">
        <v>43069</v>
      </c>
      <c r="P182" s="345">
        <v>43069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0</v>
      </c>
      <c r="M183" s="343">
        <v>2017</v>
      </c>
      <c r="N183" s="344">
        <v>78103.62</v>
      </c>
      <c r="O183" s="345">
        <v>43069</v>
      </c>
      <c r="P183" s="345">
        <v>43069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3</v>
      </c>
      <c r="M184" s="343">
        <v>2020</v>
      </c>
      <c r="N184" s="344">
        <v>39900000</v>
      </c>
      <c r="O184" s="345">
        <v>43069</v>
      </c>
      <c r="P184" s="345">
        <v>43069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2</v>
      </c>
      <c r="M185" s="343">
        <v>2019</v>
      </c>
      <c r="N185" s="344">
        <v>39400000</v>
      </c>
      <c r="O185" s="345">
        <v>43069</v>
      </c>
      <c r="P185" s="345">
        <v>43069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5</v>
      </c>
      <c r="M186" s="343">
        <v>2022</v>
      </c>
      <c r="N186" s="344">
        <v>40900000</v>
      </c>
      <c r="O186" s="345">
        <v>43069</v>
      </c>
      <c r="P186" s="345">
        <v>43069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6</v>
      </c>
      <c r="M187" s="343">
        <v>2023</v>
      </c>
      <c r="N187" s="344">
        <v>41400000</v>
      </c>
      <c r="O187" s="345">
        <v>43069</v>
      </c>
      <c r="P187" s="345">
        <v>43069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0</v>
      </c>
      <c r="M188" s="343">
        <v>2017</v>
      </c>
      <c r="N188" s="344">
        <v>42006899.07</v>
      </c>
      <c r="O188" s="345">
        <v>43069</v>
      </c>
      <c r="P188" s="345">
        <v>43069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2024</v>
      </c>
      <c r="N189" s="344">
        <v>41900000</v>
      </c>
      <c r="O189" s="345">
        <v>43069</v>
      </c>
      <c r="P189" s="345">
        <v>43069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2025</v>
      </c>
      <c r="N190" s="344">
        <v>42400000</v>
      </c>
      <c r="O190" s="345">
        <v>43069</v>
      </c>
      <c r="P190" s="345">
        <v>43069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1</v>
      </c>
      <c r="M191" s="343">
        <v>2018</v>
      </c>
      <c r="N191" s="344">
        <v>39358277.15</v>
      </c>
      <c r="O191" s="345">
        <v>43069</v>
      </c>
      <c r="P191" s="345">
        <v>43069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43069</v>
      </c>
      <c r="P192" s="345">
        <v>43069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1</v>
      </c>
      <c r="M193" s="343">
        <v>2018</v>
      </c>
      <c r="N193" s="344">
        <v>0</v>
      </c>
      <c r="O193" s="345">
        <v>43069</v>
      </c>
      <c r="P193" s="345">
        <v>43069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43069</v>
      </c>
      <c r="P194" s="345">
        <v>43069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7</v>
      </c>
      <c r="M195" s="343">
        <v>2024</v>
      </c>
      <c r="N195" s="344">
        <v>0</v>
      </c>
      <c r="O195" s="345">
        <v>43069</v>
      </c>
      <c r="P195" s="345">
        <v>43069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3</v>
      </c>
      <c r="M196" s="343">
        <v>2020</v>
      </c>
      <c r="N196" s="344">
        <v>0</v>
      </c>
      <c r="O196" s="345">
        <v>43069</v>
      </c>
      <c r="P196" s="345">
        <v>43069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0</v>
      </c>
      <c r="M197" s="343">
        <v>2017</v>
      </c>
      <c r="N197" s="344">
        <v>0</v>
      </c>
      <c r="O197" s="345">
        <v>43069</v>
      </c>
      <c r="P197" s="345">
        <v>43069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8</v>
      </c>
      <c r="M198" s="343">
        <v>2025</v>
      </c>
      <c r="N198" s="344">
        <v>0</v>
      </c>
      <c r="O198" s="345">
        <v>43069</v>
      </c>
      <c r="P198" s="345">
        <v>43069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2</v>
      </c>
      <c r="M199" s="343">
        <v>2019</v>
      </c>
      <c r="N199" s="344">
        <v>0</v>
      </c>
      <c r="O199" s="345">
        <v>43069</v>
      </c>
      <c r="P199" s="345">
        <v>43069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43069</v>
      </c>
      <c r="P200" s="345">
        <v>43069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5</v>
      </c>
      <c r="M201" s="343">
        <v>2022</v>
      </c>
      <c r="N201" s="344">
        <v>0</v>
      </c>
      <c r="O201" s="345">
        <v>43069</v>
      </c>
      <c r="P201" s="345">
        <v>43069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0</v>
      </c>
      <c r="M202" s="343">
        <v>2017</v>
      </c>
      <c r="N202" s="344">
        <v>626410</v>
      </c>
      <c r="O202" s="345">
        <v>43069</v>
      </c>
      <c r="P202" s="345">
        <v>43069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43069</v>
      </c>
      <c r="P203" s="345">
        <v>43069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43069</v>
      </c>
      <c r="P204" s="345">
        <v>43069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2</v>
      </c>
      <c r="M205" s="343">
        <v>2019</v>
      </c>
      <c r="N205" s="344">
        <v>0</v>
      </c>
      <c r="O205" s="345">
        <v>43069</v>
      </c>
      <c r="P205" s="345">
        <v>43069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3</v>
      </c>
      <c r="M206" s="343">
        <v>2020</v>
      </c>
      <c r="N206" s="344">
        <v>0</v>
      </c>
      <c r="O206" s="345">
        <v>43069</v>
      </c>
      <c r="P206" s="345">
        <v>43069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2024</v>
      </c>
      <c r="N207" s="344">
        <v>0</v>
      </c>
      <c r="O207" s="345">
        <v>43069</v>
      </c>
      <c r="P207" s="345">
        <v>43069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6</v>
      </c>
      <c r="M208" s="343">
        <v>2023</v>
      </c>
      <c r="N208" s="344">
        <v>0</v>
      </c>
      <c r="O208" s="345">
        <v>43069</v>
      </c>
      <c r="P208" s="345">
        <v>43069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8</v>
      </c>
      <c r="M209" s="343">
        <v>2025</v>
      </c>
      <c r="N209" s="344">
        <v>0</v>
      </c>
      <c r="O209" s="345">
        <v>43069</v>
      </c>
      <c r="P209" s="345">
        <v>43069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4</v>
      </c>
      <c r="M210" s="343">
        <v>2021</v>
      </c>
      <c r="N210" s="344">
        <v>0</v>
      </c>
      <c r="O210" s="345">
        <v>43069</v>
      </c>
      <c r="P210" s="345">
        <v>43069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5</v>
      </c>
      <c r="M211" s="343">
        <v>2022</v>
      </c>
      <c r="N211" s="344">
        <v>0</v>
      </c>
      <c r="O211" s="345">
        <v>43069</v>
      </c>
      <c r="P211" s="345">
        <v>43069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43069</v>
      </c>
      <c r="P212" s="345">
        <v>43069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0</v>
      </c>
      <c r="M213" s="343">
        <v>2017</v>
      </c>
      <c r="N213" s="344">
        <v>0</v>
      </c>
      <c r="O213" s="345">
        <v>43069</v>
      </c>
      <c r="P213" s="345">
        <v>43069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2018</v>
      </c>
      <c r="N214" s="344">
        <v>0</v>
      </c>
      <c r="O214" s="345">
        <v>43069</v>
      </c>
      <c r="P214" s="345">
        <v>43069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3</v>
      </c>
      <c r="M215" s="343">
        <v>2020</v>
      </c>
      <c r="N215" s="344">
        <v>0</v>
      </c>
      <c r="O215" s="345">
        <v>43069</v>
      </c>
      <c r="P215" s="345">
        <v>43069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8</v>
      </c>
      <c r="M216" s="343">
        <v>2025</v>
      </c>
      <c r="N216" s="344">
        <v>0</v>
      </c>
      <c r="O216" s="345">
        <v>43069</v>
      </c>
      <c r="P216" s="345">
        <v>43069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7</v>
      </c>
      <c r="M217" s="343">
        <v>2024</v>
      </c>
      <c r="N217" s="344">
        <v>0</v>
      </c>
      <c r="O217" s="345">
        <v>43069</v>
      </c>
      <c r="P217" s="345">
        <v>43069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6</v>
      </c>
      <c r="M218" s="343">
        <v>2023</v>
      </c>
      <c r="N218" s="344">
        <v>0</v>
      </c>
      <c r="O218" s="345">
        <v>43069</v>
      </c>
      <c r="P218" s="345">
        <v>43069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2</v>
      </c>
      <c r="M219" s="343">
        <v>2019</v>
      </c>
      <c r="N219" s="344">
        <v>0</v>
      </c>
      <c r="O219" s="345">
        <v>43069</v>
      </c>
      <c r="P219" s="345">
        <v>43069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43069</v>
      </c>
      <c r="P220" s="345">
        <v>43069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6</v>
      </c>
      <c r="M221" s="343">
        <v>2023</v>
      </c>
      <c r="N221" s="344">
        <v>0</v>
      </c>
      <c r="O221" s="345">
        <v>43069</v>
      </c>
      <c r="P221" s="345">
        <v>43069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8</v>
      </c>
      <c r="M222" s="343">
        <v>2025</v>
      </c>
      <c r="N222" s="344">
        <v>0</v>
      </c>
      <c r="O222" s="345">
        <v>43069</v>
      </c>
      <c r="P222" s="345">
        <v>43069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4</v>
      </c>
      <c r="M223" s="343">
        <v>2021</v>
      </c>
      <c r="N223" s="344">
        <v>0</v>
      </c>
      <c r="O223" s="345">
        <v>43069</v>
      </c>
      <c r="P223" s="345">
        <v>43069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3</v>
      </c>
      <c r="M224" s="343">
        <v>2020</v>
      </c>
      <c r="N224" s="344">
        <v>0</v>
      </c>
      <c r="O224" s="345">
        <v>43069</v>
      </c>
      <c r="P224" s="345">
        <v>43069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7</v>
      </c>
      <c r="M225" s="343">
        <v>2024</v>
      </c>
      <c r="N225" s="344">
        <v>0</v>
      </c>
      <c r="O225" s="345">
        <v>43069</v>
      </c>
      <c r="P225" s="345">
        <v>43069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43069</v>
      </c>
      <c r="P226" s="345">
        <v>43069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5</v>
      </c>
      <c r="M227" s="343">
        <v>2022</v>
      </c>
      <c r="N227" s="344">
        <v>0</v>
      </c>
      <c r="O227" s="345">
        <v>43069</v>
      </c>
      <c r="P227" s="345">
        <v>43069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43069</v>
      </c>
      <c r="P228" s="345">
        <v>43069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4</v>
      </c>
      <c r="M229" s="343">
        <v>2021</v>
      </c>
      <c r="N229" s="344">
        <v>0</v>
      </c>
      <c r="O229" s="345">
        <v>43069</v>
      </c>
      <c r="P229" s="345">
        <v>43069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43069</v>
      </c>
      <c r="P230" s="345">
        <v>43069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43069</v>
      </c>
      <c r="P231" s="345">
        <v>43069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5</v>
      </c>
      <c r="M232" s="343">
        <v>2022</v>
      </c>
      <c r="N232" s="344">
        <v>0</v>
      </c>
      <c r="O232" s="345">
        <v>43069</v>
      </c>
      <c r="P232" s="345">
        <v>43069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8</v>
      </c>
      <c r="M233" s="343">
        <v>2025</v>
      </c>
      <c r="N233" s="344">
        <v>0</v>
      </c>
      <c r="O233" s="345">
        <v>43069</v>
      </c>
      <c r="P233" s="345">
        <v>43069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3</v>
      </c>
      <c r="M234" s="343">
        <v>2020</v>
      </c>
      <c r="N234" s="344">
        <v>0</v>
      </c>
      <c r="O234" s="345">
        <v>43069</v>
      </c>
      <c r="P234" s="345">
        <v>43069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1</v>
      </c>
      <c r="M235" s="343">
        <v>2018</v>
      </c>
      <c r="N235" s="344">
        <v>0</v>
      </c>
      <c r="O235" s="345">
        <v>43069</v>
      </c>
      <c r="P235" s="345">
        <v>43069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7</v>
      </c>
      <c r="M236" s="343">
        <v>2024</v>
      </c>
      <c r="N236" s="344">
        <v>0</v>
      </c>
      <c r="O236" s="345">
        <v>43069</v>
      </c>
      <c r="P236" s="345">
        <v>43069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6</v>
      </c>
      <c r="M237" s="343">
        <v>2023</v>
      </c>
      <c r="N237" s="344">
        <v>0</v>
      </c>
      <c r="O237" s="345">
        <v>43069</v>
      </c>
      <c r="P237" s="345">
        <v>43069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5</v>
      </c>
      <c r="M238" s="343">
        <v>2022</v>
      </c>
      <c r="N238" s="344">
        <v>0</v>
      </c>
      <c r="O238" s="345">
        <v>43069</v>
      </c>
      <c r="P238" s="345">
        <v>43069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2018</v>
      </c>
      <c r="N239" s="344">
        <v>0</v>
      </c>
      <c r="O239" s="345">
        <v>43069</v>
      </c>
      <c r="P239" s="345">
        <v>43069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2020</v>
      </c>
      <c r="N240" s="344">
        <v>0</v>
      </c>
      <c r="O240" s="345">
        <v>43069</v>
      </c>
      <c r="P240" s="345">
        <v>43069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2021</v>
      </c>
      <c r="N241" s="344">
        <v>0</v>
      </c>
      <c r="O241" s="345">
        <v>43069</v>
      </c>
      <c r="P241" s="345">
        <v>43069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2</v>
      </c>
      <c r="M242" s="343">
        <v>2019</v>
      </c>
      <c r="N242" s="344">
        <v>0</v>
      </c>
      <c r="O242" s="345">
        <v>43069</v>
      </c>
      <c r="P242" s="345">
        <v>43069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2023</v>
      </c>
      <c r="N243" s="344">
        <v>0</v>
      </c>
      <c r="O243" s="345">
        <v>43069</v>
      </c>
      <c r="P243" s="345">
        <v>43069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8</v>
      </c>
      <c r="M244" s="343">
        <v>2025</v>
      </c>
      <c r="N244" s="344">
        <v>0</v>
      </c>
      <c r="O244" s="345">
        <v>43069</v>
      </c>
      <c r="P244" s="345">
        <v>43069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0</v>
      </c>
      <c r="M245" s="343">
        <v>2017</v>
      </c>
      <c r="N245" s="344">
        <v>0</v>
      </c>
      <c r="O245" s="345">
        <v>43069</v>
      </c>
      <c r="P245" s="345">
        <v>43069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7</v>
      </c>
      <c r="M246" s="343">
        <v>2024</v>
      </c>
      <c r="N246" s="344">
        <v>0</v>
      </c>
      <c r="O246" s="345">
        <v>43069</v>
      </c>
      <c r="P246" s="345">
        <v>43069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0</v>
      </c>
      <c r="M247" s="343">
        <v>2017</v>
      </c>
      <c r="N247" s="344">
        <v>0</v>
      </c>
      <c r="O247" s="345">
        <v>43069</v>
      </c>
      <c r="P247" s="345">
        <v>43069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7</v>
      </c>
      <c r="M248" s="343">
        <v>2024</v>
      </c>
      <c r="N248" s="344">
        <v>1250000</v>
      </c>
      <c r="O248" s="345">
        <v>43069</v>
      </c>
      <c r="P248" s="345">
        <v>43069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8</v>
      </c>
      <c r="M249" s="343">
        <v>2025</v>
      </c>
      <c r="N249" s="344">
        <v>285316.79</v>
      </c>
      <c r="O249" s="345">
        <v>43069</v>
      </c>
      <c r="P249" s="345">
        <v>43069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43069</v>
      </c>
      <c r="P250" s="345">
        <v>43069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2</v>
      </c>
      <c r="M251" s="343">
        <v>2019</v>
      </c>
      <c r="N251" s="344">
        <v>1860004</v>
      </c>
      <c r="O251" s="345">
        <v>43069</v>
      </c>
      <c r="P251" s="345">
        <v>43069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43069</v>
      </c>
      <c r="P252" s="345">
        <v>43069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5</v>
      </c>
      <c r="M253" s="343">
        <v>2022</v>
      </c>
      <c r="N253" s="344">
        <v>2250004</v>
      </c>
      <c r="O253" s="345">
        <v>43069</v>
      </c>
      <c r="P253" s="345">
        <v>43069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6</v>
      </c>
      <c r="M254" s="343">
        <v>2023</v>
      </c>
      <c r="N254" s="344">
        <v>2418000</v>
      </c>
      <c r="O254" s="345">
        <v>43069</v>
      </c>
      <c r="P254" s="345">
        <v>43069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3</v>
      </c>
      <c r="M255" s="343">
        <v>2020</v>
      </c>
      <c r="N255" s="344">
        <v>2210004</v>
      </c>
      <c r="O255" s="345">
        <v>43069</v>
      </c>
      <c r="P255" s="345">
        <v>43069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3">TRUE</f>
        <v>1</v>
      </c>
      <c r="L256" s="342">
        <v>3</v>
      </c>
      <c r="M256" s="343">
        <v>2020</v>
      </c>
      <c r="N256" s="344">
        <v>12240</v>
      </c>
      <c r="O256" s="345">
        <v>43069</v>
      </c>
      <c r="P256" s="345">
        <v>43069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2018</v>
      </c>
      <c r="N257" s="344">
        <v>88679.42</v>
      </c>
      <c r="O257" s="345">
        <v>43069</v>
      </c>
      <c r="P257" s="345">
        <v>43069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2</v>
      </c>
      <c r="M258" s="343">
        <v>2019</v>
      </c>
      <c r="N258" s="344">
        <v>12240</v>
      </c>
      <c r="O258" s="345">
        <v>43069</v>
      </c>
      <c r="P258" s="345">
        <v>43069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2023</v>
      </c>
      <c r="N259" s="344">
        <v>0</v>
      </c>
      <c r="O259" s="345">
        <v>43069</v>
      </c>
      <c r="P259" s="345">
        <v>43069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5</v>
      </c>
      <c r="M260" s="343">
        <v>2022</v>
      </c>
      <c r="N260" s="344">
        <v>0</v>
      </c>
      <c r="O260" s="345">
        <v>43069</v>
      </c>
      <c r="P260" s="345">
        <v>43069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0</v>
      </c>
      <c r="M261" s="343">
        <v>2017</v>
      </c>
      <c r="N261" s="344">
        <v>95388.21</v>
      </c>
      <c r="O261" s="345">
        <v>43069</v>
      </c>
      <c r="P261" s="345">
        <v>43069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43069</v>
      </c>
      <c r="P262" s="345">
        <v>43069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7</v>
      </c>
      <c r="M263" s="343">
        <v>2024</v>
      </c>
      <c r="N263" s="344">
        <v>0</v>
      </c>
      <c r="O263" s="345">
        <v>43069</v>
      </c>
      <c r="P263" s="345">
        <v>43069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2021</v>
      </c>
      <c r="N264" s="344">
        <v>17680</v>
      </c>
      <c r="O264" s="345">
        <v>43069</v>
      </c>
      <c r="P264" s="345">
        <v>43069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0</v>
      </c>
      <c r="M265" s="343">
        <v>2017</v>
      </c>
      <c r="N265" s="344">
        <v>0</v>
      </c>
      <c r="O265" s="345">
        <v>43069</v>
      </c>
      <c r="P265" s="345">
        <v>43069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620</v>
      </c>
      <c r="H266" s="341" t="s">
        <v>160</v>
      </c>
      <c r="I266" s="341"/>
      <c r="J266" s="341" t="s">
        <v>451</v>
      </c>
      <c r="K266" s="342" t="b">
        <f t="shared" si="11"/>
        <v>1</v>
      </c>
      <c r="L266" s="342">
        <v>1</v>
      </c>
      <c r="M266" s="343">
        <v>2018</v>
      </c>
      <c r="N266" s="344">
        <v>7838558.93</v>
      </c>
      <c r="O266" s="345">
        <v>43069</v>
      </c>
      <c r="P266" s="345">
        <v>43069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620</v>
      </c>
      <c r="H267" s="341" t="s">
        <v>160</v>
      </c>
      <c r="I267" s="341"/>
      <c r="J267" s="341" t="s">
        <v>451</v>
      </c>
      <c r="K267" s="342" t="b">
        <f t="shared" si="11"/>
        <v>1</v>
      </c>
      <c r="L267" s="342">
        <v>4</v>
      </c>
      <c r="M267" s="343">
        <v>2021</v>
      </c>
      <c r="N267" s="344">
        <v>5872632.01</v>
      </c>
      <c r="O267" s="345">
        <v>43069</v>
      </c>
      <c r="P267" s="345">
        <v>43069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2</v>
      </c>
      <c r="M268" s="343">
        <v>2019</v>
      </c>
      <c r="N268" s="344">
        <v>0</v>
      </c>
      <c r="O268" s="345">
        <v>43069</v>
      </c>
      <c r="P268" s="345">
        <v>43069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43069</v>
      </c>
      <c r="P269" s="345">
        <v>43069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2024</v>
      </c>
      <c r="N270" s="344">
        <v>0</v>
      </c>
      <c r="O270" s="345">
        <v>43069</v>
      </c>
      <c r="P270" s="345">
        <v>43069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8</v>
      </c>
      <c r="M271" s="343">
        <v>2025</v>
      </c>
      <c r="N271" s="344">
        <v>0</v>
      </c>
      <c r="O271" s="345">
        <v>43069</v>
      </c>
      <c r="P271" s="345">
        <v>43069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43069</v>
      </c>
      <c r="P272" s="345">
        <v>43069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5</v>
      </c>
      <c r="M273" s="343">
        <v>2022</v>
      </c>
      <c r="N273" s="344">
        <v>0</v>
      </c>
      <c r="O273" s="345">
        <v>43069</v>
      </c>
      <c r="P273" s="345">
        <v>43069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810</v>
      </c>
      <c r="H274" s="341">
        <v>13.2</v>
      </c>
      <c r="I274" s="341"/>
      <c r="J274" s="341" t="s">
        <v>231</v>
      </c>
      <c r="K274" s="342" t="b">
        <f t="shared" si="11"/>
        <v>1</v>
      </c>
      <c r="L274" s="342">
        <v>4</v>
      </c>
      <c r="M274" s="343">
        <v>2021</v>
      </c>
      <c r="N274" s="344">
        <v>0</v>
      </c>
      <c r="O274" s="345">
        <v>43069</v>
      </c>
      <c r="P274" s="345">
        <v>43069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810</v>
      </c>
      <c r="H275" s="341">
        <v>13.2</v>
      </c>
      <c r="I275" s="341"/>
      <c r="J275" s="341" t="s">
        <v>231</v>
      </c>
      <c r="K275" s="342" t="b">
        <f t="shared" si="11"/>
        <v>1</v>
      </c>
      <c r="L275" s="342">
        <v>6</v>
      </c>
      <c r="M275" s="343">
        <v>2023</v>
      </c>
      <c r="N275" s="344">
        <v>0</v>
      </c>
      <c r="O275" s="345">
        <v>43069</v>
      </c>
      <c r="P275" s="345">
        <v>43069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8</v>
      </c>
      <c r="M276" s="343">
        <v>2025</v>
      </c>
      <c r="N276" s="344">
        <v>0</v>
      </c>
      <c r="O276" s="345">
        <v>43069</v>
      </c>
      <c r="P276" s="345">
        <v>43069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4</v>
      </c>
      <c r="M277" s="343">
        <v>2021</v>
      </c>
      <c r="N277" s="344">
        <v>0</v>
      </c>
      <c r="O277" s="345">
        <v>43069</v>
      </c>
      <c r="P277" s="345">
        <v>43069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43069</v>
      </c>
      <c r="P278" s="345">
        <v>43069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2</v>
      </c>
      <c r="M279" s="343">
        <v>2019</v>
      </c>
      <c r="N279" s="344">
        <v>0</v>
      </c>
      <c r="O279" s="345">
        <v>43069</v>
      </c>
      <c r="P279" s="345">
        <v>43069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7</v>
      </c>
      <c r="M280" s="343">
        <v>2024</v>
      </c>
      <c r="N280" s="344">
        <v>0</v>
      </c>
      <c r="O280" s="345">
        <v>43069</v>
      </c>
      <c r="P280" s="345">
        <v>43069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0</v>
      </c>
      <c r="M281" s="343">
        <v>2017</v>
      </c>
      <c r="N281" s="344">
        <v>0</v>
      </c>
      <c r="O281" s="345">
        <v>43069</v>
      </c>
      <c r="P281" s="345">
        <v>43069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43069</v>
      </c>
      <c r="P282" s="345">
        <v>43069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400</v>
      </c>
      <c r="H283" s="341">
        <v>7</v>
      </c>
      <c r="I283" s="341"/>
      <c r="J283" s="341" t="s">
        <v>107</v>
      </c>
      <c r="K283" s="342" t="b">
        <f t="shared" si="11"/>
        <v>1</v>
      </c>
      <c r="L283" s="342">
        <v>3</v>
      </c>
      <c r="M283" s="343">
        <v>2020</v>
      </c>
      <c r="N283" s="344">
        <v>0</v>
      </c>
      <c r="O283" s="345">
        <v>43069</v>
      </c>
      <c r="P283" s="345">
        <v>43069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400</v>
      </c>
      <c r="H284" s="341">
        <v>7</v>
      </c>
      <c r="I284" s="341"/>
      <c r="J284" s="341" t="s">
        <v>107</v>
      </c>
      <c r="K284" s="342" t="b">
        <f t="shared" si="11"/>
        <v>1</v>
      </c>
      <c r="L284" s="342">
        <v>1</v>
      </c>
      <c r="M284" s="343">
        <v>2018</v>
      </c>
      <c r="N284" s="344">
        <v>0</v>
      </c>
      <c r="O284" s="345">
        <v>43069</v>
      </c>
      <c r="P284" s="345">
        <v>43069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4</v>
      </c>
      <c r="M285" s="343">
        <v>2021</v>
      </c>
      <c r="N285" s="344">
        <v>0</v>
      </c>
      <c r="O285" s="345">
        <v>43069</v>
      </c>
      <c r="P285" s="345">
        <v>43069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5</v>
      </c>
      <c r="M286" s="343">
        <v>2022</v>
      </c>
      <c r="N286" s="344">
        <v>0</v>
      </c>
      <c r="O286" s="345">
        <v>43069</v>
      </c>
      <c r="P286" s="345">
        <v>43069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7</v>
      </c>
      <c r="M287" s="343">
        <v>2024</v>
      </c>
      <c r="N287" s="344">
        <v>0</v>
      </c>
      <c r="O287" s="345">
        <v>43069</v>
      </c>
      <c r="P287" s="345">
        <v>43069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8</v>
      </c>
      <c r="M288" s="343">
        <v>2025</v>
      </c>
      <c r="N288" s="344">
        <v>0</v>
      </c>
      <c r="O288" s="345">
        <v>43069</v>
      </c>
      <c r="P288" s="345">
        <v>43069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6</v>
      </c>
      <c r="M289" s="343">
        <v>2023</v>
      </c>
      <c r="N289" s="344">
        <v>0</v>
      </c>
      <c r="O289" s="345">
        <v>43069</v>
      </c>
      <c r="P289" s="345">
        <v>43069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3</v>
      </c>
      <c r="M290" s="343">
        <v>2020</v>
      </c>
      <c r="N290" s="344">
        <v>0</v>
      </c>
      <c r="O290" s="345">
        <v>43069</v>
      </c>
      <c r="P290" s="345">
        <v>43069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2</v>
      </c>
      <c r="M291" s="343">
        <v>2019</v>
      </c>
      <c r="N291" s="344">
        <v>0</v>
      </c>
      <c r="O291" s="345">
        <v>43069</v>
      </c>
      <c r="P291" s="345">
        <v>43069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770</v>
      </c>
      <c r="H292" s="341" t="s">
        <v>225</v>
      </c>
      <c r="I292" s="341"/>
      <c r="J292" s="341" t="s">
        <v>212</v>
      </c>
      <c r="K292" s="342" t="b">
        <f t="shared" si="11"/>
        <v>1</v>
      </c>
      <c r="L292" s="342">
        <v>1</v>
      </c>
      <c r="M292" s="343">
        <v>2018</v>
      </c>
      <c r="N292" s="344">
        <v>0</v>
      </c>
      <c r="O292" s="345">
        <v>43069</v>
      </c>
      <c r="P292" s="345">
        <v>43069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770</v>
      </c>
      <c r="H293" s="341" t="s">
        <v>225</v>
      </c>
      <c r="I293" s="341"/>
      <c r="J293" s="341" t="s">
        <v>212</v>
      </c>
      <c r="K293" s="342" t="b">
        <f t="shared" si="11"/>
        <v>1</v>
      </c>
      <c r="L293" s="342">
        <v>0</v>
      </c>
      <c r="M293" s="343">
        <v>2017</v>
      </c>
      <c r="N293" s="344">
        <v>0</v>
      </c>
      <c r="O293" s="345">
        <v>43069</v>
      </c>
      <c r="P293" s="345">
        <v>43069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aca="true" t="shared" si="12" ref="K294:K302">FALSE</f>
        <v>0</v>
      </c>
      <c r="L294" s="342">
        <v>7</v>
      </c>
      <c r="M294" s="343">
        <v>2024</v>
      </c>
      <c r="N294" s="344">
        <v>0</v>
      </c>
      <c r="O294" s="345">
        <v>43069</v>
      </c>
      <c r="P294" s="345">
        <v>43069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0</v>
      </c>
      <c r="M295" s="343">
        <v>2017</v>
      </c>
      <c r="N295" s="344">
        <v>2697674</v>
      </c>
      <c r="O295" s="345">
        <v>43069</v>
      </c>
      <c r="P295" s="345">
        <v>43069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5</v>
      </c>
      <c r="M296" s="343">
        <v>2022</v>
      </c>
      <c r="N296" s="344">
        <v>0</v>
      </c>
      <c r="O296" s="345">
        <v>43069</v>
      </c>
      <c r="P296" s="345">
        <v>43069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8</v>
      </c>
      <c r="M297" s="343">
        <v>2025</v>
      </c>
      <c r="N297" s="344">
        <v>0</v>
      </c>
      <c r="O297" s="345">
        <v>43069</v>
      </c>
      <c r="P297" s="345">
        <v>43069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2020</v>
      </c>
      <c r="N298" s="344">
        <v>0</v>
      </c>
      <c r="O298" s="345">
        <v>43069</v>
      </c>
      <c r="P298" s="345">
        <v>43069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43069</v>
      </c>
      <c r="P299" s="345">
        <v>43069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1</v>
      </c>
      <c r="M300" s="343">
        <v>2018</v>
      </c>
      <c r="N300" s="344">
        <v>0</v>
      </c>
      <c r="O300" s="345">
        <v>43069</v>
      </c>
      <c r="P300" s="345">
        <v>43069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210</v>
      </c>
      <c r="H301" s="341">
        <v>4</v>
      </c>
      <c r="I301" s="341" t="s">
        <v>428</v>
      </c>
      <c r="J301" s="341" t="s">
        <v>69</v>
      </c>
      <c r="K301" s="342" t="b">
        <f t="shared" si="12"/>
        <v>0</v>
      </c>
      <c r="L301" s="342">
        <v>6</v>
      </c>
      <c r="M301" s="343">
        <v>2023</v>
      </c>
      <c r="N301" s="344">
        <v>0</v>
      </c>
      <c r="O301" s="345">
        <v>43069</v>
      </c>
      <c r="P301" s="345">
        <v>43069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210</v>
      </c>
      <c r="H302" s="341">
        <v>4</v>
      </c>
      <c r="I302" s="341" t="s">
        <v>428</v>
      </c>
      <c r="J302" s="341" t="s">
        <v>69</v>
      </c>
      <c r="K302" s="342" t="b">
        <f t="shared" si="12"/>
        <v>0</v>
      </c>
      <c r="L302" s="342">
        <v>2</v>
      </c>
      <c r="M302" s="343">
        <v>2019</v>
      </c>
      <c r="N302" s="344">
        <v>0</v>
      </c>
      <c r="O302" s="345">
        <v>43069</v>
      </c>
      <c r="P302" s="345">
        <v>43069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aca="true" t="shared" si="13" ref="K303:K313">TRUE</f>
        <v>1</v>
      </c>
      <c r="L303" s="342">
        <v>8</v>
      </c>
      <c r="M303" s="343">
        <v>2025</v>
      </c>
      <c r="N303" s="344">
        <v>0</v>
      </c>
      <c r="O303" s="345">
        <v>43069</v>
      </c>
      <c r="P303" s="345">
        <v>43069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3</v>
      </c>
      <c r="M304" s="343">
        <v>2020</v>
      </c>
      <c r="N304" s="344">
        <v>0</v>
      </c>
      <c r="O304" s="345">
        <v>43069</v>
      </c>
      <c r="P304" s="345">
        <v>43069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620</v>
      </c>
      <c r="H305" s="341" t="s">
        <v>160</v>
      </c>
      <c r="I305" s="341"/>
      <c r="J305" s="341" t="s">
        <v>451</v>
      </c>
      <c r="K305" s="342" t="b">
        <f t="shared" si="13"/>
        <v>1</v>
      </c>
      <c r="L305" s="342">
        <v>7</v>
      </c>
      <c r="M305" s="343">
        <v>2024</v>
      </c>
      <c r="N305" s="344">
        <v>0</v>
      </c>
      <c r="O305" s="345">
        <v>43069</v>
      </c>
      <c r="P305" s="345">
        <v>43069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620</v>
      </c>
      <c r="H306" s="341" t="s">
        <v>160</v>
      </c>
      <c r="I306" s="341"/>
      <c r="J306" s="341" t="s">
        <v>451</v>
      </c>
      <c r="K306" s="342" t="b">
        <f t="shared" si="13"/>
        <v>1</v>
      </c>
      <c r="L306" s="342">
        <v>0</v>
      </c>
      <c r="M306" s="343">
        <v>2017</v>
      </c>
      <c r="N306" s="344">
        <v>130000</v>
      </c>
      <c r="O306" s="345">
        <v>43069</v>
      </c>
      <c r="P306" s="345">
        <v>43069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6</v>
      </c>
      <c r="M307" s="343">
        <v>2023</v>
      </c>
      <c r="N307" s="344">
        <v>0</v>
      </c>
      <c r="O307" s="345">
        <v>43069</v>
      </c>
      <c r="P307" s="345">
        <v>43069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0</v>
      </c>
      <c r="M308" s="343">
        <v>2017</v>
      </c>
      <c r="N308" s="344">
        <v>0</v>
      </c>
      <c r="O308" s="345">
        <v>43069</v>
      </c>
      <c r="P308" s="345">
        <v>43069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2024</v>
      </c>
      <c r="N309" s="344">
        <v>0</v>
      </c>
      <c r="O309" s="345">
        <v>43069</v>
      </c>
      <c r="P309" s="345">
        <v>43069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3"/>
        <v>1</v>
      </c>
      <c r="L310" s="342">
        <v>2</v>
      </c>
      <c r="M310" s="343">
        <v>2019</v>
      </c>
      <c r="N310" s="344">
        <v>0</v>
      </c>
      <c r="O310" s="345">
        <v>43069</v>
      </c>
      <c r="P310" s="345">
        <v>43069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160</v>
      </c>
      <c r="H311" s="341" t="s">
        <v>50</v>
      </c>
      <c r="I311" s="341"/>
      <c r="J311" s="341" t="s">
        <v>51</v>
      </c>
      <c r="K311" s="342" t="b">
        <f t="shared" si="13"/>
        <v>1</v>
      </c>
      <c r="L311" s="342">
        <v>5</v>
      </c>
      <c r="M311" s="343">
        <v>2022</v>
      </c>
      <c r="N311" s="344">
        <v>0</v>
      </c>
      <c r="O311" s="345">
        <v>43069</v>
      </c>
      <c r="P311" s="345">
        <v>43069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160</v>
      </c>
      <c r="H312" s="341" t="s">
        <v>50</v>
      </c>
      <c r="I312" s="341"/>
      <c r="J312" s="341" t="s">
        <v>51</v>
      </c>
      <c r="K312" s="342" t="b">
        <f t="shared" si="13"/>
        <v>1</v>
      </c>
      <c r="L312" s="342">
        <v>4</v>
      </c>
      <c r="M312" s="343">
        <v>2021</v>
      </c>
      <c r="N312" s="344">
        <v>0</v>
      </c>
      <c r="O312" s="345">
        <v>43069</v>
      </c>
      <c r="P312" s="345">
        <v>43069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160</v>
      </c>
      <c r="H313" s="341" t="s">
        <v>50</v>
      </c>
      <c r="I313" s="341"/>
      <c r="J313" s="341" t="s">
        <v>51</v>
      </c>
      <c r="K313" s="342" t="b">
        <f t="shared" si="13"/>
        <v>1</v>
      </c>
      <c r="L313" s="342">
        <v>1</v>
      </c>
      <c r="M313" s="343">
        <v>2018</v>
      </c>
      <c r="N313" s="344">
        <v>0</v>
      </c>
      <c r="O313" s="345">
        <v>43069</v>
      </c>
      <c r="P313" s="345">
        <v>43069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aca="true" t="shared" si="14" ref="K314:K340">FALSE</f>
        <v>0</v>
      </c>
      <c r="L314" s="342">
        <v>8</v>
      </c>
      <c r="M314" s="343">
        <v>2025</v>
      </c>
      <c r="N314" s="344">
        <v>0</v>
      </c>
      <c r="O314" s="345">
        <v>43069</v>
      </c>
      <c r="P314" s="345">
        <v>43069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4</v>
      </c>
      <c r="M315" s="343">
        <v>2021</v>
      </c>
      <c r="N315" s="344">
        <v>0</v>
      </c>
      <c r="O315" s="345">
        <v>43069</v>
      </c>
      <c r="P315" s="345">
        <v>43069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2020</v>
      </c>
      <c r="N316" s="344">
        <v>17074000</v>
      </c>
      <c r="O316" s="345">
        <v>43069</v>
      </c>
      <c r="P316" s="345">
        <v>43069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2</v>
      </c>
      <c r="M317" s="343">
        <v>2019</v>
      </c>
      <c r="N317" s="344">
        <v>16577000</v>
      </c>
      <c r="O317" s="345">
        <v>43069</v>
      </c>
      <c r="P317" s="345">
        <v>43069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2022</v>
      </c>
      <c r="N318" s="344">
        <v>0</v>
      </c>
      <c r="O318" s="345">
        <v>43069</v>
      </c>
      <c r="P318" s="345">
        <v>43069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4"/>
        <v>0</v>
      </c>
      <c r="L319" s="342">
        <v>0</v>
      </c>
      <c r="M319" s="343">
        <v>2017</v>
      </c>
      <c r="N319" s="344">
        <v>15371103.81</v>
      </c>
      <c r="O319" s="345">
        <v>43069</v>
      </c>
      <c r="P319" s="345">
        <v>43069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580</v>
      </c>
      <c r="H320" s="341">
        <v>11.1</v>
      </c>
      <c r="I320" s="341"/>
      <c r="J320" s="341" t="s">
        <v>149</v>
      </c>
      <c r="K320" s="342" t="b">
        <f t="shared" si="14"/>
        <v>0</v>
      </c>
      <c r="L320" s="342">
        <v>6</v>
      </c>
      <c r="M320" s="343">
        <v>2023</v>
      </c>
      <c r="N320" s="344">
        <v>0</v>
      </c>
      <c r="O320" s="345">
        <v>43069</v>
      </c>
      <c r="P320" s="345">
        <v>43069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580</v>
      </c>
      <c r="H321" s="341">
        <v>11.1</v>
      </c>
      <c r="I321" s="341"/>
      <c r="J321" s="341" t="s">
        <v>149</v>
      </c>
      <c r="K321" s="342" t="b">
        <f t="shared" si="14"/>
        <v>0</v>
      </c>
      <c r="L321" s="342">
        <v>1</v>
      </c>
      <c r="M321" s="343">
        <v>2018</v>
      </c>
      <c r="N321" s="344">
        <v>16094000</v>
      </c>
      <c r="O321" s="345">
        <v>43069</v>
      </c>
      <c r="P321" s="345">
        <v>43069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580</v>
      </c>
      <c r="H322" s="341">
        <v>11.1</v>
      </c>
      <c r="I322" s="341"/>
      <c r="J322" s="341" t="s">
        <v>149</v>
      </c>
      <c r="K322" s="342" t="b">
        <f t="shared" si="14"/>
        <v>0</v>
      </c>
      <c r="L322" s="342">
        <v>7</v>
      </c>
      <c r="M322" s="343">
        <v>2024</v>
      </c>
      <c r="N322" s="344">
        <v>0</v>
      </c>
      <c r="O322" s="345">
        <v>43069</v>
      </c>
      <c r="P322" s="345">
        <v>43069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0.0506</v>
      </c>
      <c r="O323" s="345">
        <v>43069</v>
      </c>
      <c r="P323" s="345">
        <v>43069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2017</v>
      </c>
      <c r="N324" s="344">
        <v>0.0408</v>
      </c>
      <c r="O324" s="345">
        <v>43069</v>
      </c>
      <c r="P324" s="345">
        <v>43069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3</v>
      </c>
      <c r="M325" s="343">
        <v>2020</v>
      </c>
      <c r="N325" s="344">
        <v>0.0569</v>
      </c>
      <c r="O325" s="345">
        <v>43069</v>
      </c>
      <c r="P325" s="345">
        <v>43069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6</v>
      </c>
      <c r="M326" s="343">
        <v>2023</v>
      </c>
      <c r="N326" s="344">
        <v>0.0504</v>
      </c>
      <c r="O326" s="345">
        <v>43069</v>
      </c>
      <c r="P326" s="345">
        <v>43069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2</v>
      </c>
      <c r="M327" s="343">
        <v>2019</v>
      </c>
      <c r="N327" s="344">
        <v>0.0521</v>
      </c>
      <c r="O327" s="345">
        <v>43069</v>
      </c>
      <c r="P327" s="345">
        <v>43069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4"/>
        <v>0</v>
      </c>
      <c r="L328" s="342">
        <v>8</v>
      </c>
      <c r="M328" s="343">
        <v>2025</v>
      </c>
      <c r="N328" s="344">
        <v>0.0073</v>
      </c>
      <c r="O328" s="345">
        <v>43069</v>
      </c>
      <c r="P328" s="345">
        <v>43069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500</v>
      </c>
      <c r="H329" s="341">
        <v>9.4</v>
      </c>
      <c r="I329" s="341" t="s">
        <v>435</v>
      </c>
      <c r="J329" s="341" t="s">
        <v>447</v>
      </c>
      <c r="K329" s="342" t="b">
        <f t="shared" si="14"/>
        <v>0</v>
      </c>
      <c r="L329" s="342">
        <v>7</v>
      </c>
      <c r="M329" s="343">
        <v>2024</v>
      </c>
      <c r="N329" s="344">
        <v>0.0258</v>
      </c>
      <c r="O329" s="345">
        <v>43069</v>
      </c>
      <c r="P329" s="345">
        <v>43069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500</v>
      </c>
      <c r="H330" s="341">
        <v>9.4</v>
      </c>
      <c r="I330" s="341" t="s">
        <v>435</v>
      </c>
      <c r="J330" s="341" t="s">
        <v>447</v>
      </c>
      <c r="K330" s="342" t="b">
        <f t="shared" si="14"/>
        <v>0</v>
      </c>
      <c r="L330" s="342">
        <v>1</v>
      </c>
      <c r="M330" s="343">
        <v>2018</v>
      </c>
      <c r="N330" s="344">
        <v>0.0431</v>
      </c>
      <c r="O330" s="345">
        <v>43069</v>
      </c>
      <c r="P330" s="345">
        <v>43069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500</v>
      </c>
      <c r="H331" s="341">
        <v>9.4</v>
      </c>
      <c r="I331" s="341" t="s">
        <v>435</v>
      </c>
      <c r="J331" s="341" t="s">
        <v>447</v>
      </c>
      <c r="K331" s="342" t="b">
        <f t="shared" si="14"/>
        <v>0</v>
      </c>
      <c r="L331" s="342">
        <v>5</v>
      </c>
      <c r="M331" s="343">
        <v>2022</v>
      </c>
      <c r="N331" s="344">
        <v>0.0506</v>
      </c>
      <c r="O331" s="345">
        <v>43069</v>
      </c>
      <c r="P331" s="345">
        <v>43069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43069</v>
      </c>
      <c r="P332" s="345">
        <v>43069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2017</v>
      </c>
      <c r="N333" s="344">
        <v>0.0362</v>
      </c>
      <c r="O333" s="345">
        <v>43069</v>
      </c>
      <c r="P333" s="345">
        <v>43069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4</v>
      </c>
      <c r="M334" s="343">
        <v>2021</v>
      </c>
      <c r="N334" s="344">
        <v>0.1655</v>
      </c>
      <c r="O334" s="345">
        <v>43069</v>
      </c>
      <c r="P334" s="345">
        <v>43069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6</v>
      </c>
      <c r="M335" s="343">
        <v>2023</v>
      </c>
      <c r="N335" s="344">
        <v>0.2189</v>
      </c>
      <c r="O335" s="345">
        <v>43069</v>
      </c>
      <c r="P335" s="345">
        <v>43069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2</v>
      </c>
      <c r="M336" s="343">
        <v>2019</v>
      </c>
      <c r="N336" s="344">
        <v>0.1213</v>
      </c>
      <c r="O336" s="345">
        <v>43069</v>
      </c>
      <c r="P336" s="345">
        <v>43069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4"/>
        <v>0</v>
      </c>
      <c r="L337" s="342">
        <v>7</v>
      </c>
      <c r="M337" s="343">
        <v>2024</v>
      </c>
      <c r="N337" s="344">
        <v>0.2382</v>
      </c>
      <c r="O337" s="345">
        <v>43069</v>
      </c>
      <c r="P337" s="345">
        <v>43069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508</v>
      </c>
      <c r="H338" s="341">
        <v>9.5</v>
      </c>
      <c r="I338" s="341" t="s">
        <v>436</v>
      </c>
      <c r="J338" s="341" t="s">
        <v>129</v>
      </c>
      <c r="K338" s="342" t="b">
        <f t="shared" si="14"/>
        <v>0</v>
      </c>
      <c r="L338" s="342">
        <v>3</v>
      </c>
      <c r="M338" s="343">
        <v>2020</v>
      </c>
      <c r="N338" s="344">
        <v>0.1491</v>
      </c>
      <c r="O338" s="345">
        <v>43069</v>
      </c>
      <c r="P338" s="345">
        <v>43069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508</v>
      </c>
      <c r="H339" s="341">
        <v>9.5</v>
      </c>
      <c r="I339" s="341" t="s">
        <v>436</v>
      </c>
      <c r="J339" s="341" t="s">
        <v>129</v>
      </c>
      <c r="K339" s="342" t="b">
        <f t="shared" si="14"/>
        <v>0</v>
      </c>
      <c r="L339" s="342">
        <v>8</v>
      </c>
      <c r="M339" s="343">
        <v>2025</v>
      </c>
      <c r="N339" s="344">
        <v>0.2561</v>
      </c>
      <c r="O339" s="345">
        <v>43069</v>
      </c>
      <c r="P339" s="345">
        <v>43069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508</v>
      </c>
      <c r="H340" s="341">
        <v>9.5</v>
      </c>
      <c r="I340" s="341" t="s">
        <v>436</v>
      </c>
      <c r="J340" s="341" t="s">
        <v>129</v>
      </c>
      <c r="K340" s="342" t="b">
        <f t="shared" si="14"/>
        <v>0</v>
      </c>
      <c r="L340" s="342">
        <v>1</v>
      </c>
      <c r="M340" s="343">
        <v>2018</v>
      </c>
      <c r="N340" s="344">
        <v>0.1659</v>
      </c>
      <c r="O340" s="345">
        <v>43069</v>
      </c>
      <c r="P340" s="345">
        <v>43069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aca="true" t="shared" si="15" ref="K341:K399">TRUE</f>
        <v>1</v>
      </c>
      <c r="L341" s="342">
        <v>2</v>
      </c>
      <c r="M341" s="343">
        <v>2019</v>
      </c>
      <c r="N341" s="344">
        <v>8000000</v>
      </c>
      <c r="O341" s="345">
        <v>43069</v>
      </c>
      <c r="P341" s="345">
        <v>43069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1</v>
      </c>
      <c r="M342" s="343">
        <v>2018</v>
      </c>
      <c r="N342" s="344">
        <v>7800000</v>
      </c>
      <c r="O342" s="345">
        <v>43069</v>
      </c>
      <c r="P342" s="345">
        <v>43069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5</v>
      </c>
      <c r="M343" s="343">
        <v>2022</v>
      </c>
      <c r="N343" s="344">
        <v>0</v>
      </c>
      <c r="O343" s="345">
        <v>43069</v>
      </c>
      <c r="P343" s="345">
        <v>43069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6</v>
      </c>
      <c r="M344" s="343">
        <v>2023</v>
      </c>
      <c r="N344" s="344">
        <v>0</v>
      </c>
      <c r="O344" s="345">
        <v>43069</v>
      </c>
      <c r="P344" s="345">
        <v>43069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43069</v>
      </c>
      <c r="P345" s="345">
        <v>43069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5"/>
        <v>1</v>
      </c>
      <c r="L346" s="342">
        <v>7</v>
      </c>
      <c r="M346" s="343">
        <v>2024</v>
      </c>
      <c r="N346" s="344">
        <v>0</v>
      </c>
      <c r="O346" s="345">
        <v>43069</v>
      </c>
      <c r="P346" s="345">
        <v>43069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50</v>
      </c>
      <c r="H347" s="341" t="s">
        <v>19</v>
      </c>
      <c r="I347" s="341"/>
      <c r="J347" s="341" t="s">
        <v>20</v>
      </c>
      <c r="K347" s="342" t="b">
        <f t="shared" si="15"/>
        <v>1</v>
      </c>
      <c r="L347" s="342">
        <v>0</v>
      </c>
      <c r="M347" s="343">
        <v>2017</v>
      </c>
      <c r="N347" s="344">
        <v>8086300.76</v>
      </c>
      <c r="O347" s="345">
        <v>43069</v>
      </c>
      <c r="P347" s="345">
        <v>43069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50</v>
      </c>
      <c r="H348" s="341" t="s">
        <v>19</v>
      </c>
      <c r="I348" s="341"/>
      <c r="J348" s="341" t="s">
        <v>20</v>
      </c>
      <c r="K348" s="342" t="b">
        <f t="shared" si="15"/>
        <v>1</v>
      </c>
      <c r="L348" s="342">
        <v>3</v>
      </c>
      <c r="M348" s="343">
        <v>2020</v>
      </c>
      <c r="N348" s="344">
        <v>8200000</v>
      </c>
      <c r="O348" s="345">
        <v>43069</v>
      </c>
      <c r="P348" s="345">
        <v>43069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50</v>
      </c>
      <c r="H349" s="341" t="s">
        <v>19</v>
      </c>
      <c r="I349" s="341"/>
      <c r="J349" s="341" t="s">
        <v>20</v>
      </c>
      <c r="K349" s="342" t="b">
        <f t="shared" si="15"/>
        <v>1</v>
      </c>
      <c r="L349" s="342">
        <v>4</v>
      </c>
      <c r="M349" s="343">
        <v>2021</v>
      </c>
      <c r="N349" s="344">
        <v>0</v>
      </c>
      <c r="O349" s="345">
        <v>43069</v>
      </c>
      <c r="P349" s="345">
        <v>43069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5</v>
      </c>
      <c r="M350" s="343">
        <v>2022</v>
      </c>
      <c r="N350" s="344">
        <v>0.1453</v>
      </c>
      <c r="O350" s="345">
        <v>43069</v>
      </c>
      <c r="P350" s="345">
        <v>43069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0.1454</v>
      </c>
      <c r="O351" s="345">
        <v>43069</v>
      </c>
      <c r="P351" s="345">
        <v>43069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1</v>
      </c>
      <c r="M352" s="343">
        <v>2018</v>
      </c>
      <c r="N352" s="344">
        <v>0.0461</v>
      </c>
      <c r="O352" s="345">
        <v>43069</v>
      </c>
      <c r="P352" s="345">
        <v>43069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7</v>
      </c>
      <c r="M353" s="343">
        <v>2024</v>
      </c>
      <c r="N353" s="344">
        <v>0.1941</v>
      </c>
      <c r="O353" s="345">
        <v>43069</v>
      </c>
      <c r="P353" s="345">
        <v>43069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2</v>
      </c>
      <c r="M354" s="343">
        <v>2019</v>
      </c>
      <c r="N354" s="344">
        <v>0.0773</v>
      </c>
      <c r="O354" s="345">
        <v>43069</v>
      </c>
      <c r="P354" s="345">
        <v>43069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5"/>
        <v>1</v>
      </c>
      <c r="L355" s="342">
        <v>0</v>
      </c>
      <c r="M355" s="343">
        <v>2017</v>
      </c>
      <c r="N355" s="344">
        <v>0.0603</v>
      </c>
      <c r="O355" s="345">
        <v>43069</v>
      </c>
      <c r="P355" s="345">
        <v>43069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510</v>
      </c>
      <c r="H356" s="341">
        <v>9.6</v>
      </c>
      <c r="I356" s="341"/>
      <c r="J356" s="341" t="s">
        <v>448</v>
      </c>
      <c r="K356" s="342" t="b">
        <f t="shared" si="15"/>
        <v>1</v>
      </c>
      <c r="L356" s="342">
        <v>8</v>
      </c>
      <c r="M356" s="343">
        <v>2025</v>
      </c>
      <c r="N356" s="344">
        <v>0.2184</v>
      </c>
      <c r="O356" s="345">
        <v>43069</v>
      </c>
      <c r="P356" s="345">
        <v>43069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510</v>
      </c>
      <c r="H357" s="341">
        <v>9.6</v>
      </c>
      <c r="I357" s="341"/>
      <c r="J357" s="341" t="s">
        <v>448</v>
      </c>
      <c r="K357" s="342" t="b">
        <f t="shared" si="15"/>
        <v>1</v>
      </c>
      <c r="L357" s="342">
        <v>3</v>
      </c>
      <c r="M357" s="343">
        <v>2020</v>
      </c>
      <c r="N357" s="344">
        <v>0.1078</v>
      </c>
      <c r="O357" s="345">
        <v>43069</v>
      </c>
      <c r="P357" s="345">
        <v>43069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510</v>
      </c>
      <c r="H358" s="341">
        <v>9.6</v>
      </c>
      <c r="I358" s="341"/>
      <c r="J358" s="341" t="s">
        <v>448</v>
      </c>
      <c r="K358" s="342" t="b">
        <f t="shared" si="15"/>
        <v>1</v>
      </c>
      <c r="L358" s="342">
        <v>6</v>
      </c>
      <c r="M358" s="343">
        <v>2023</v>
      </c>
      <c r="N358" s="344">
        <v>0.1709</v>
      </c>
      <c r="O358" s="345">
        <v>43069</v>
      </c>
      <c r="P358" s="345">
        <v>43069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6</v>
      </c>
      <c r="M359" s="343">
        <v>2023</v>
      </c>
      <c r="N359" s="344">
        <v>53000000</v>
      </c>
      <c r="O359" s="345">
        <v>43069</v>
      </c>
      <c r="P359" s="345">
        <v>43069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1</v>
      </c>
      <c r="M360" s="343">
        <v>2018</v>
      </c>
      <c r="N360" s="344">
        <v>43036481.15</v>
      </c>
      <c r="O360" s="345">
        <v>43069</v>
      </c>
      <c r="P360" s="345">
        <v>43069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8</v>
      </c>
      <c r="M361" s="343">
        <v>2025</v>
      </c>
      <c r="N361" s="344">
        <v>57000000</v>
      </c>
      <c r="O361" s="345">
        <v>43069</v>
      </c>
      <c r="P361" s="345">
        <v>43069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5</v>
      </c>
      <c r="M362" s="343">
        <v>2022</v>
      </c>
      <c r="N362" s="344">
        <v>51000000</v>
      </c>
      <c r="O362" s="345">
        <v>43069</v>
      </c>
      <c r="P362" s="345">
        <v>43069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2019</v>
      </c>
      <c r="N363" s="344">
        <v>45000000</v>
      </c>
      <c r="O363" s="345">
        <v>43069</v>
      </c>
      <c r="P363" s="345">
        <v>43069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5"/>
        <v>1</v>
      </c>
      <c r="L364" s="342">
        <v>4</v>
      </c>
      <c r="M364" s="343">
        <v>2021</v>
      </c>
      <c r="N364" s="344">
        <v>49000000</v>
      </c>
      <c r="O364" s="345">
        <v>43069</v>
      </c>
      <c r="P364" s="345">
        <v>43069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20</v>
      </c>
      <c r="H365" s="341">
        <v>1.1</v>
      </c>
      <c r="I365" s="341"/>
      <c r="J365" s="341" t="s">
        <v>11</v>
      </c>
      <c r="K365" s="342" t="b">
        <f t="shared" si="15"/>
        <v>1</v>
      </c>
      <c r="L365" s="342">
        <v>0</v>
      </c>
      <c r="M365" s="343">
        <v>2017</v>
      </c>
      <c r="N365" s="344">
        <v>43573274.52</v>
      </c>
      <c r="O365" s="345">
        <v>43069</v>
      </c>
      <c r="P365" s="345">
        <v>43069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20</v>
      </c>
      <c r="H366" s="341">
        <v>1.1</v>
      </c>
      <c r="I366" s="341"/>
      <c r="J366" s="341" t="s">
        <v>11</v>
      </c>
      <c r="K366" s="342" t="b">
        <f t="shared" si="15"/>
        <v>1</v>
      </c>
      <c r="L366" s="342">
        <v>3</v>
      </c>
      <c r="M366" s="343">
        <v>2020</v>
      </c>
      <c r="N366" s="344">
        <v>47000000</v>
      </c>
      <c r="O366" s="345">
        <v>43069</v>
      </c>
      <c r="P366" s="345">
        <v>43069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20</v>
      </c>
      <c r="H367" s="341">
        <v>1.1</v>
      </c>
      <c r="I367" s="341"/>
      <c r="J367" s="341" t="s">
        <v>11</v>
      </c>
      <c r="K367" s="342" t="b">
        <f t="shared" si="15"/>
        <v>1</v>
      </c>
      <c r="L367" s="342">
        <v>7</v>
      </c>
      <c r="M367" s="343">
        <v>2024</v>
      </c>
      <c r="N367" s="344">
        <v>55000000</v>
      </c>
      <c r="O367" s="345">
        <v>43069</v>
      </c>
      <c r="P367" s="345">
        <v>43069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3</v>
      </c>
      <c r="M368" s="343">
        <v>2020</v>
      </c>
      <c r="N368" s="344">
        <v>1122446.05</v>
      </c>
      <c r="O368" s="345">
        <v>43069</v>
      </c>
      <c r="P368" s="345">
        <v>43069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5</v>
      </c>
      <c r="M369" s="343">
        <v>2022</v>
      </c>
      <c r="N369" s="344">
        <v>0</v>
      </c>
      <c r="O369" s="345">
        <v>43069</v>
      </c>
      <c r="P369" s="345">
        <v>43069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8</v>
      </c>
      <c r="M370" s="343">
        <v>2025</v>
      </c>
      <c r="N370" s="344">
        <v>0</v>
      </c>
      <c r="O370" s="345">
        <v>43069</v>
      </c>
      <c r="P370" s="345">
        <v>43069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2023</v>
      </c>
      <c r="N371" s="344">
        <v>0</v>
      </c>
      <c r="O371" s="345">
        <v>43069</v>
      </c>
      <c r="P371" s="345">
        <v>43069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2</v>
      </c>
      <c r="M372" s="343">
        <v>2019</v>
      </c>
      <c r="N372" s="344">
        <v>4455473.46</v>
      </c>
      <c r="O372" s="345">
        <v>43069</v>
      </c>
      <c r="P372" s="345">
        <v>43069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3</v>
      </c>
      <c r="M373" s="343">
        <v>2020</v>
      </c>
      <c r="N373" s="344">
        <v>0</v>
      </c>
      <c r="O373" s="345">
        <v>43069</v>
      </c>
      <c r="P373" s="345">
        <v>43069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7</v>
      </c>
      <c r="M374" s="343">
        <v>2024</v>
      </c>
      <c r="N374" s="344">
        <v>0</v>
      </c>
      <c r="O374" s="345">
        <v>43069</v>
      </c>
      <c r="P374" s="345">
        <v>43069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43069</v>
      </c>
      <c r="P375" s="345">
        <v>43069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6</v>
      </c>
      <c r="M376" s="343">
        <v>2023</v>
      </c>
      <c r="N376" s="344">
        <v>0</v>
      </c>
      <c r="O376" s="345">
        <v>43069</v>
      </c>
      <c r="P376" s="345">
        <v>43069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1</v>
      </c>
      <c r="M377" s="343">
        <v>2018</v>
      </c>
      <c r="N377" s="344">
        <v>0</v>
      </c>
      <c r="O377" s="345">
        <v>43069</v>
      </c>
      <c r="P377" s="345">
        <v>43069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8</v>
      </c>
      <c r="M378" s="343">
        <v>2025</v>
      </c>
      <c r="N378" s="344">
        <v>0</v>
      </c>
      <c r="O378" s="345">
        <v>43069</v>
      </c>
      <c r="P378" s="345">
        <v>43069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0</v>
      </c>
      <c r="M379" s="343">
        <v>2017</v>
      </c>
      <c r="N379" s="344">
        <v>0</v>
      </c>
      <c r="O379" s="345">
        <v>43069</v>
      </c>
      <c r="P379" s="345">
        <v>43069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4</v>
      </c>
      <c r="M380" s="343">
        <v>2021</v>
      </c>
      <c r="N380" s="344">
        <v>0</v>
      </c>
      <c r="O380" s="345">
        <v>43069</v>
      </c>
      <c r="P380" s="345">
        <v>43069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2</v>
      </c>
      <c r="M381" s="343">
        <v>2019</v>
      </c>
      <c r="N381" s="344">
        <v>0</v>
      </c>
      <c r="O381" s="345">
        <v>43069</v>
      </c>
      <c r="P381" s="345">
        <v>43069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3</v>
      </c>
      <c r="M382" s="343">
        <v>2020</v>
      </c>
      <c r="N382" s="344">
        <v>0.0569</v>
      </c>
      <c r="O382" s="345">
        <v>43069</v>
      </c>
      <c r="P382" s="345">
        <v>43069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2021</v>
      </c>
      <c r="N383" s="344">
        <v>0.0506</v>
      </c>
      <c r="O383" s="345">
        <v>43069</v>
      </c>
      <c r="P383" s="345">
        <v>43069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8</v>
      </c>
      <c r="M384" s="343">
        <v>2025</v>
      </c>
      <c r="N384" s="344">
        <v>0.0073</v>
      </c>
      <c r="O384" s="345">
        <v>43069</v>
      </c>
      <c r="P384" s="345">
        <v>43069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6</v>
      </c>
      <c r="M385" s="343">
        <v>2023</v>
      </c>
      <c r="N385" s="344">
        <v>0.0504</v>
      </c>
      <c r="O385" s="345">
        <v>43069</v>
      </c>
      <c r="P385" s="345">
        <v>43069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0</v>
      </c>
      <c r="M386" s="343">
        <v>2017</v>
      </c>
      <c r="N386" s="344">
        <v>0.0408</v>
      </c>
      <c r="O386" s="345">
        <v>43069</v>
      </c>
      <c r="P386" s="345">
        <v>43069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7</v>
      </c>
      <c r="M387" s="343">
        <v>2024</v>
      </c>
      <c r="N387" s="344">
        <v>0.0258</v>
      </c>
      <c r="O387" s="345">
        <v>43069</v>
      </c>
      <c r="P387" s="345">
        <v>43069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1</v>
      </c>
      <c r="M388" s="343">
        <v>2018</v>
      </c>
      <c r="N388" s="344">
        <v>0.0431</v>
      </c>
      <c r="O388" s="345">
        <v>43069</v>
      </c>
      <c r="P388" s="345">
        <v>43069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5</v>
      </c>
      <c r="M389" s="343">
        <v>2022</v>
      </c>
      <c r="N389" s="344">
        <v>0.0506</v>
      </c>
      <c r="O389" s="345">
        <v>43069</v>
      </c>
      <c r="P389" s="345">
        <v>43069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2</v>
      </c>
      <c r="M390" s="343">
        <v>2019</v>
      </c>
      <c r="N390" s="344">
        <v>0.0521</v>
      </c>
      <c r="O390" s="345">
        <v>43069</v>
      </c>
      <c r="P390" s="345">
        <v>43069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2024</v>
      </c>
      <c r="N391" s="344">
        <v>0</v>
      </c>
      <c r="O391" s="345">
        <v>43069</v>
      </c>
      <c r="P391" s="345">
        <v>43069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2020</v>
      </c>
      <c r="N392" s="344">
        <v>0</v>
      </c>
      <c r="O392" s="345">
        <v>43069</v>
      </c>
      <c r="P392" s="345">
        <v>43069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2</v>
      </c>
      <c r="M393" s="343">
        <v>2019</v>
      </c>
      <c r="N393" s="344">
        <v>0</v>
      </c>
      <c r="O393" s="345">
        <v>43069</v>
      </c>
      <c r="P393" s="345">
        <v>43069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6</v>
      </c>
      <c r="M394" s="343">
        <v>2023</v>
      </c>
      <c r="N394" s="344">
        <v>0</v>
      </c>
      <c r="O394" s="345">
        <v>43069</v>
      </c>
      <c r="P394" s="345">
        <v>43069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5</v>
      </c>
      <c r="M395" s="343">
        <v>2022</v>
      </c>
      <c r="N395" s="344">
        <v>0</v>
      </c>
      <c r="O395" s="345">
        <v>43069</v>
      </c>
      <c r="P395" s="345">
        <v>43069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4</v>
      </c>
      <c r="M396" s="343">
        <v>2021</v>
      </c>
      <c r="N396" s="344">
        <v>0</v>
      </c>
      <c r="O396" s="345">
        <v>43069</v>
      </c>
      <c r="P396" s="345">
        <v>43069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2018</v>
      </c>
      <c r="N397" s="344">
        <v>0</v>
      </c>
      <c r="O397" s="345">
        <v>43069</v>
      </c>
      <c r="P397" s="345">
        <v>43069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2017</v>
      </c>
      <c r="N398" s="344">
        <v>0</v>
      </c>
      <c r="O398" s="345">
        <v>43069</v>
      </c>
      <c r="P398" s="345">
        <v>43069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8</v>
      </c>
      <c r="M399" s="343">
        <v>2025</v>
      </c>
      <c r="N399" s="344">
        <v>0</v>
      </c>
      <c r="O399" s="345">
        <v>43069</v>
      </c>
      <c r="P399" s="345">
        <v>43069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2</v>
      </c>
      <c r="M400" s="343">
        <v>2019</v>
      </c>
      <c r="N400" s="344">
        <v>1860004</v>
      </c>
      <c r="O400" s="345">
        <v>43069</v>
      </c>
      <c r="P400" s="345">
        <v>43069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2023</v>
      </c>
      <c r="N401" s="344">
        <v>2418000</v>
      </c>
      <c r="O401" s="345">
        <v>43069</v>
      </c>
      <c r="P401" s="345">
        <v>43069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4</v>
      </c>
      <c r="M402" s="343">
        <v>2021</v>
      </c>
      <c r="N402" s="344">
        <v>2210004</v>
      </c>
      <c r="O402" s="345">
        <v>43069</v>
      </c>
      <c r="P402" s="345">
        <v>43069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43069</v>
      </c>
      <c r="P403" s="345">
        <v>43069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3</v>
      </c>
      <c r="M404" s="343">
        <v>2020</v>
      </c>
      <c r="N404" s="344">
        <v>2210004</v>
      </c>
      <c r="O404" s="345">
        <v>43069</v>
      </c>
      <c r="P404" s="345">
        <v>43069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8</v>
      </c>
      <c r="M405" s="343">
        <v>2025</v>
      </c>
      <c r="N405" s="344">
        <v>285316.79</v>
      </c>
      <c r="O405" s="345">
        <v>43069</v>
      </c>
      <c r="P405" s="345">
        <v>43069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0</v>
      </c>
      <c r="M406" s="343">
        <v>2017</v>
      </c>
      <c r="N406" s="344">
        <v>1478204</v>
      </c>
      <c r="O406" s="345">
        <v>43069</v>
      </c>
      <c r="P406" s="345">
        <v>43069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43069</v>
      </c>
      <c r="P407" s="345">
        <v>43069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7</v>
      </c>
      <c r="M408" s="343">
        <v>2024</v>
      </c>
      <c r="N408" s="344">
        <v>1250000</v>
      </c>
      <c r="O408" s="345">
        <v>43069</v>
      </c>
      <c r="P408" s="345">
        <v>43069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8">TRUE</f>
        <v>1</v>
      </c>
      <c r="L409" s="342">
        <v>1</v>
      </c>
      <c r="M409" s="343">
        <v>2018</v>
      </c>
      <c r="N409" s="344">
        <v>0</v>
      </c>
      <c r="O409" s="345">
        <v>43069</v>
      </c>
      <c r="P409" s="345">
        <v>43069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2017</v>
      </c>
      <c r="N410" s="344">
        <v>0</v>
      </c>
      <c r="O410" s="345">
        <v>43069</v>
      </c>
      <c r="P410" s="345">
        <v>43069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2022</v>
      </c>
      <c r="N411" s="344">
        <v>0</v>
      </c>
      <c r="O411" s="345">
        <v>43069</v>
      </c>
      <c r="P411" s="345">
        <v>43069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10</v>
      </c>
      <c r="H412" s="341">
        <v>1</v>
      </c>
      <c r="I412" s="341" t="s">
        <v>478</v>
      </c>
      <c r="J412" s="341" t="s">
        <v>9</v>
      </c>
      <c r="K412" s="342" t="b">
        <f t="shared" si="17"/>
        <v>1</v>
      </c>
      <c r="L412" s="342">
        <v>1</v>
      </c>
      <c r="M412" s="343">
        <v>2018</v>
      </c>
      <c r="N412" s="344">
        <v>52024012.54</v>
      </c>
      <c r="O412" s="345">
        <v>43069</v>
      </c>
      <c r="P412" s="345">
        <v>43069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10</v>
      </c>
      <c r="H413" s="341">
        <v>1</v>
      </c>
      <c r="I413" s="341" t="s">
        <v>478</v>
      </c>
      <c r="J413" s="341" t="s">
        <v>9</v>
      </c>
      <c r="K413" s="342" t="b">
        <f t="shared" si="17"/>
        <v>1</v>
      </c>
      <c r="L413" s="342">
        <v>5</v>
      </c>
      <c r="M413" s="343">
        <v>2022</v>
      </c>
      <c r="N413" s="344">
        <v>51000000</v>
      </c>
      <c r="O413" s="345">
        <v>43069</v>
      </c>
      <c r="P413" s="345">
        <v>43069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6</v>
      </c>
      <c r="M414" s="343">
        <v>2023</v>
      </c>
      <c r="N414" s="344">
        <v>0</v>
      </c>
      <c r="O414" s="345">
        <v>43069</v>
      </c>
      <c r="P414" s="345">
        <v>43069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3</v>
      </c>
      <c r="M415" s="343">
        <v>2020</v>
      </c>
      <c r="N415" s="344">
        <v>0</v>
      </c>
      <c r="O415" s="345">
        <v>43069</v>
      </c>
      <c r="P415" s="345">
        <v>43069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2025</v>
      </c>
      <c r="N416" s="344">
        <v>0</v>
      </c>
      <c r="O416" s="345">
        <v>43069</v>
      </c>
      <c r="P416" s="345">
        <v>43069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2019</v>
      </c>
      <c r="N417" s="344">
        <v>0</v>
      </c>
      <c r="O417" s="345">
        <v>43069</v>
      </c>
      <c r="P417" s="345">
        <v>43069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840</v>
      </c>
      <c r="H418" s="341">
        <v>13.5</v>
      </c>
      <c r="I418" s="341"/>
      <c r="J418" s="341" t="s">
        <v>240</v>
      </c>
      <c r="K418" s="342" t="b">
        <f t="shared" si="17"/>
        <v>1</v>
      </c>
      <c r="L418" s="342">
        <v>7</v>
      </c>
      <c r="M418" s="343">
        <v>2024</v>
      </c>
      <c r="N418" s="344">
        <v>0</v>
      </c>
      <c r="O418" s="345">
        <v>43069</v>
      </c>
      <c r="P418" s="345">
        <v>43069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840</v>
      </c>
      <c r="H419" s="341">
        <v>13.5</v>
      </c>
      <c r="I419" s="341"/>
      <c r="J419" s="341" t="s">
        <v>240</v>
      </c>
      <c r="K419" s="342" t="b">
        <f t="shared" si="17"/>
        <v>1</v>
      </c>
      <c r="L419" s="342">
        <v>4</v>
      </c>
      <c r="M419" s="343">
        <v>2021</v>
      </c>
      <c r="N419" s="344">
        <v>0</v>
      </c>
      <c r="O419" s="345">
        <v>43069</v>
      </c>
      <c r="P419" s="345">
        <v>43069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2</v>
      </c>
      <c r="M420" s="343">
        <v>2019</v>
      </c>
      <c r="N420" s="344">
        <v>0</v>
      </c>
      <c r="O420" s="345">
        <v>43069</v>
      </c>
      <c r="P420" s="345">
        <v>43069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2025</v>
      </c>
      <c r="N421" s="344">
        <v>0</v>
      </c>
      <c r="O421" s="345">
        <v>43069</v>
      </c>
      <c r="P421" s="345">
        <v>43069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7</v>
      </c>
      <c r="M422" s="343">
        <v>2024</v>
      </c>
      <c r="N422" s="344">
        <v>0</v>
      </c>
      <c r="O422" s="345">
        <v>43069</v>
      </c>
      <c r="P422" s="345">
        <v>43069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6</v>
      </c>
      <c r="M423" s="343">
        <v>2023</v>
      </c>
      <c r="N423" s="344">
        <v>0</v>
      </c>
      <c r="O423" s="345">
        <v>43069</v>
      </c>
      <c r="P423" s="345">
        <v>43069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3</v>
      </c>
      <c r="M424" s="343">
        <v>2020</v>
      </c>
      <c r="N424" s="344">
        <v>0</v>
      </c>
      <c r="O424" s="345">
        <v>43069</v>
      </c>
      <c r="P424" s="345">
        <v>43069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5</v>
      </c>
      <c r="M425" s="343">
        <v>2022</v>
      </c>
      <c r="N425" s="344">
        <v>0</v>
      </c>
      <c r="O425" s="345">
        <v>43069</v>
      </c>
      <c r="P425" s="345">
        <v>43069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0</v>
      </c>
      <c r="M426" s="343">
        <v>2017</v>
      </c>
      <c r="N426" s="344">
        <v>0</v>
      </c>
      <c r="O426" s="345">
        <v>43069</v>
      </c>
      <c r="P426" s="345">
        <v>43069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870</v>
      </c>
      <c r="H427" s="341">
        <v>14</v>
      </c>
      <c r="I427" s="341"/>
      <c r="J427" s="341" t="s">
        <v>248</v>
      </c>
      <c r="K427" s="342" t="b">
        <f t="shared" si="17"/>
        <v>1</v>
      </c>
      <c r="L427" s="342">
        <v>1</v>
      </c>
      <c r="M427" s="343">
        <v>2018</v>
      </c>
      <c r="N427" s="344">
        <v>0</v>
      </c>
      <c r="O427" s="345">
        <v>43069</v>
      </c>
      <c r="P427" s="345">
        <v>43069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870</v>
      </c>
      <c r="H428" s="341">
        <v>14</v>
      </c>
      <c r="I428" s="341"/>
      <c r="J428" s="341" t="s">
        <v>248</v>
      </c>
      <c r="K428" s="342" t="b">
        <f t="shared" si="17"/>
        <v>1</v>
      </c>
      <c r="L428" s="342">
        <v>4</v>
      </c>
      <c r="M428" s="343">
        <v>2021</v>
      </c>
      <c r="N428" s="344">
        <v>0</v>
      </c>
      <c r="O428" s="345">
        <v>43069</v>
      </c>
      <c r="P428" s="345">
        <v>43069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aca="true" t="shared" si="18" ref="K429:K437">FALSE</f>
        <v>0</v>
      </c>
      <c r="L429" s="342">
        <v>0</v>
      </c>
      <c r="M429" s="343">
        <v>2017</v>
      </c>
      <c r="N429" s="344">
        <v>3978732.66</v>
      </c>
      <c r="O429" s="345">
        <v>43069</v>
      </c>
      <c r="P429" s="345">
        <v>43069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18"/>
        <v>0</v>
      </c>
      <c r="L430" s="342">
        <v>4</v>
      </c>
      <c r="M430" s="343">
        <v>2021</v>
      </c>
      <c r="N430" s="344">
        <v>8600000</v>
      </c>
      <c r="O430" s="345">
        <v>43069</v>
      </c>
      <c r="P430" s="345">
        <v>43069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8"/>
        <v>0</v>
      </c>
      <c r="L431" s="342">
        <v>7</v>
      </c>
      <c r="M431" s="343">
        <v>2024</v>
      </c>
      <c r="N431" s="344">
        <v>13100000</v>
      </c>
      <c r="O431" s="345">
        <v>43069</v>
      </c>
      <c r="P431" s="345">
        <v>43069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8"/>
        <v>0</v>
      </c>
      <c r="L432" s="342">
        <v>6</v>
      </c>
      <c r="M432" s="343">
        <v>2023</v>
      </c>
      <c r="N432" s="344">
        <v>11600000</v>
      </c>
      <c r="O432" s="345">
        <v>43069</v>
      </c>
      <c r="P432" s="345">
        <v>43069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8"/>
        <v>0</v>
      </c>
      <c r="L433" s="342">
        <v>1</v>
      </c>
      <c r="M433" s="343">
        <v>2018</v>
      </c>
      <c r="N433" s="344">
        <v>3678204</v>
      </c>
      <c r="O433" s="345">
        <v>43069</v>
      </c>
      <c r="P433" s="345">
        <v>43069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8"/>
        <v>0</v>
      </c>
      <c r="L434" s="342">
        <v>3</v>
      </c>
      <c r="M434" s="343">
        <v>2020</v>
      </c>
      <c r="N434" s="344">
        <v>7100000</v>
      </c>
      <c r="O434" s="345">
        <v>43069</v>
      </c>
      <c r="P434" s="345">
        <v>43069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8"/>
        <v>0</v>
      </c>
      <c r="L435" s="342">
        <v>2</v>
      </c>
      <c r="M435" s="343">
        <v>2019</v>
      </c>
      <c r="N435" s="344">
        <v>5600000</v>
      </c>
      <c r="O435" s="345">
        <v>43069</v>
      </c>
      <c r="P435" s="345">
        <v>43069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8"/>
        <v>0</v>
      </c>
      <c r="L436" s="342">
        <v>5</v>
      </c>
      <c r="M436" s="343">
        <v>2022</v>
      </c>
      <c r="N436" s="344">
        <v>10100000</v>
      </c>
      <c r="O436" s="345">
        <v>43069</v>
      </c>
      <c r="P436" s="345">
        <v>43069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430</v>
      </c>
      <c r="H437" s="341">
        <v>8.2</v>
      </c>
      <c r="I437" s="341" t="s">
        <v>432</v>
      </c>
      <c r="J437" s="341" t="s">
        <v>113</v>
      </c>
      <c r="K437" s="342" t="b">
        <f t="shared" si="18"/>
        <v>0</v>
      </c>
      <c r="L437" s="342">
        <v>8</v>
      </c>
      <c r="M437" s="343">
        <v>2025</v>
      </c>
      <c r="N437" s="344">
        <v>14600000</v>
      </c>
      <c r="O437" s="345">
        <v>43069</v>
      </c>
      <c r="P437" s="345">
        <v>43069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aca="true" t="shared" si="19" ref="K438:K516">TRUE</f>
        <v>1</v>
      </c>
      <c r="L438" s="342">
        <v>4</v>
      </c>
      <c r="M438" s="343">
        <v>2021</v>
      </c>
      <c r="N438" s="344">
        <v>0</v>
      </c>
      <c r="O438" s="345">
        <v>43069</v>
      </c>
      <c r="P438" s="345">
        <v>43069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19"/>
        <v>1</v>
      </c>
      <c r="L439" s="342">
        <v>0</v>
      </c>
      <c r="M439" s="343">
        <v>2017</v>
      </c>
      <c r="N439" s="344">
        <v>285316.79</v>
      </c>
      <c r="O439" s="345">
        <v>43069</v>
      </c>
      <c r="P439" s="345">
        <v>43069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19"/>
        <v>1</v>
      </c>
      <c r="L440" s="342">
        <v>1</v>
      </c>
      <c r="M440" s="343">
        <v>2018</v>
      </c>
      <c r="N440" s="344">
        <v>0</v>
      </c>
      <c r="O440" s="345">
        <v>43069</v>
      </c>
      <c r="P440" s="345">
        <v>43069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19"/>
        <v>1</v>
      </c>
      <c r="L441" s="342">
        <v>3</v>
      </c>
      <c r="M441" s="343">
        <v>2020</v>
      </c>
      <c r="N441" s="344">
        <v>0</v>
      </c>
      <c r="O441" s="345">
        <v>43069</v>
      </c>
      <c r="P441" s="345">
        <v>43069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19"/>
        <v>1</v>
      </c>
      <c r="L442" s="342">
        <v>8</v>
      </c>
      <c r="M442" s="343">
        <v>2025</v>
      </c>
      <c r="N442" s="344">
        <v>0</v>
      </c>
      <c r="O442" s="345">
        <v>43069</v>
      </c>
      <c r="P442" s="345">
        <v>43069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19"/>
        <v>1</v>
      </c>
      <c r="L443" s="342">
        <v>7</v>
      </c>
      <c r="M443" s="343">
        <v>2024</v>
      </c>
      <c r="N443" s="344">
        <v>0</v>
      </c>
      <c r="O443" s="345">
        <v>43069</v>
      </c>
      <c r="P443" s="345">
        <v>43069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19"/>
        <v>1</v>
      </c>
      <c r="L444" s="342">
        <v>5</v>
      </c>
      <c r="M444" s="343">
        <v>2022</v>
      </c>
      <c r="N444" s="344">
        <v>0</v>
      </c>
      <c r="O444" s="345">
        <v>43069</v>
      </c>
      <c r="P444" s="345">
        <v>43069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19"/>
        <v>1</v>
      </c>
      <c r="L445" s="342">
        <v>6</v>
      </c>
      <c r="M445" s="343">
        <v>2023</v>
      </c>
      <c r="N445" s="344">
        <v>0</v>
      </c>
      <c r="O445" s="345">
        <v>43069</v>
      </c>
      <c r="P445" s="345">
        <v>43069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270</v>
      </c>
      <c r="H446" s="341" t="s">
        <v>84</v>
      </c>
      <c r="I446" s="341"/>
      <c r="J446" s="341" t="s">
        <v>80</v>
      </c>
      <c r="K446" s="342" t="b">
        <f t="shared" si="19"/>
        <v>1</v>
      </c>
      <c r="L446" s="342">
        <v>2</v>
      </c>
      <c r="M446" s="343">
        <v>2019</v>
      </c>
      <c r="N446" s="344">
        <v>0</v>
      </c>
      <c r="O446" s="345">
        <v>43069</v>
      </c>
      <c r="P446" s="345">
        <v>43069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19"/>
        <v>1</v>
      </c>
      <c r="L447" s="342">
        <v>5</v>
      </c>
      <c r="M447" s="343">
        <v>2022</v>
      </c>
      <c r="N447" s="344">
        <v>0</v>
      </c>
      <c r="O447" s="345">
        <v>43069</v>
      </c>
      <c r="P447" s="345">
        <v>43069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19"/>
        <v>1</v>
      </c>
      <c r="L448" s="342">
        <v>8</v>
      </c>
      <c r="M448" s="343">
        <v>2025</v>
      </c>
      <c r="N448" s="344">
        <v>0</v>
      </c>
      <c r="O448" s="345">
        <v>43069</v>
      </c>
      <c r="P448" s="345">
        <v>43069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19"/>
        <v>1</v>
      </c>
      <c r="L449" s="342">
        <v>1</v>
      </c>
      <c r="M449" s="343">
        <v>2018</v>
      </c>
      <c r="N449" s="344">
        <v>9400000</v>
      </c>
      <c r="O449" s="345">
        <v>43069</v>
      </c>
      <c r="P449" s="345">
        <v>43069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19"/>
        <v>1</v>
      </c>
      <c r="L450" s="342">
        <v>6</v>
      </c>
      <c r="M450" s="343">
        <v>2023</v>
      </c>
      <c r="N450" s="344">
        <v>0</v>
      </c>
      <c r="O450" s="345">
        <v>43069</v>
      </c>
      <c r="P450" s="345">
        <v>43069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19"/>
        <v>1</v>
      </c>
      <c r="L451" s="342">
        <v>4</v>
      </c>
      <c r="M451" s="343">
        <v>2021</v>
      </c>
      <c r="N451" s="344">
        <v>0</v>
      </c>
      <c r="O451" s="345">
        <v>43069</v>
      </c>
      <c r="P451" s="345">
        <v>43069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19"/>
        <v>1</v>
      </c>
      <c r="L452" s="342">
        <v>3</v>
      </c>
      <c r="M452" s="343">
        <v>2020</v>
      </c>
      <c r="N452" s="344">
        <v>9600000</v>
      </c>
      <c r="O452" s="345">
        <v>43069</v>
      </c>
      <c r="P452" s="345">
        <v>43069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19"/>
        <v>1</v>
      </c>
      <c r="L453" s="342">
        <v>7</v>
      </c>
      <c r="M453" s="343">
        <v>2024</v>
      </c>
      <c r="N453" s="344">
        <v>0</v>
      </c>
      <c r="O453" s="345">
        <v>43069</v>
      </c>
      <c r="P453" s="345">
        <v>43069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19"/>
        <v>1</v>
      </c>
      <c r="L454" s="342">
        <v>2</v>
      </c>
      <c r="M454" s="343">
        <v>2019</v>
      </c>
      <c r="N454" s="344">
        <v>9500000</v>
      </c>
      <c r="O454" s="345">
        <v>43069</v>
      </c>
      <c r="P454" s="345">
        <v>43069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70</v>
      </c>
      <c r="H455" s="341" t="s">
        <v>25</v>
      </c>
      <c r="I455" s="341"/>
      <c r="J455" s="341" t="s">
        <v>26</v>
      </c>
      <c r="K455" s="342" t="b">
        <f t="shared" si="19"/>
        <v>1</v>
      </c>
      <c r="L455" s="342">
        <v>0</v>
      </c>
      <c r="M455" s="343">
        <v>2017</v>
      </c>
      <c r="N455" s="344">
        <v>8611016</v>
      </c>
      <c r="O455" s="345">
        <v>43069</v>
      </c>
      <c r="P455" s="345">
        <v>43069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19"/>
        <v>1</v>
      </c>
      <c r="L456" s="342">
        <v>3</v>
      </c>
      <c r="M456" s="343">
        <v>2020</v>
      </c>
      <c r="N456" s="344">
        <v>0</v>
      </c>
      <c r="O456" s="345">
        <v>43069</v>
      </c>
      <c r="P456" s="345">
        <v>43069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19"/>
        <v>1</v>
      </c>
      <c r="L457" s="342">
        <v>5</v>
      </c>
      <c r="M457" s="343">
        <v>2022</v>
      </c>
      <c r="N457" s="344">
        <v>0</v>
      </c>
      <c r="O457" s="345">
        <v>43069</v>
      </c>
      <c r="P457" s="345">
        <v>43069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19"/>
        <v>1</v>
      </c>
      <c r="L458" s="342">
        <v>7</v>
      </c>
      <c r="M458" s="343">
        <v>2024</v>
      </c>
      <c r="N458" s="344">
        <v>0</v>
      </c>
      <c r="O458" s="345">
        <v>43069</v>
      </c>
      <c r="P458" s="345">
        <v>43069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19"/>
        <v>1</v>
      </c>
      <c r="L459" s="342">
        <v>1</v>
      </c>
      <c r="M459" s="343">
        <v>2018</v>
      </c>
      <c r="N459" s="344">
        <v>0</v>
      </c>
      <c r="O459" s="345">
        <v>43069</v>
      </c>
      <c r="P459" s="345">
        <v>43069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19"/>
        <v>1</v>
      </c>
      <c r="L460" s="342">
        <v>0</v>
      </c>
      <c r="M460" s="343">
        <v>2017</v>
      </c>
      <c r="N460" s="344">
        <v>285316.79</v>
      </c>
      <c r="O460" s="345">
        <v>43069</v>
      </c>
      <c r="P460" s="345">
        <v>43069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19"/>
        <v>1</v>
      </c>
      <c r="L461" s="342">
        <v>8</v>
      </c>
      <c r="M461" s="343">
        <v>2025</v>
      </c>
      <c r="N461" s="344">
        <v>0</v>
      </c>
      <c r="O461" s="345">
        <v>43069</v>
      </c>
      <c r="P461" s="345">
        <v>43069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19"/>
        <v>1</v>
      </c>
      <c r="L462" s="342">
        <v>6</v>
      </c>
      <c r="M462" s="343">
        <v>2023</v>
      </c>
      <c r="N462" s="344">
        <v>0</v>
      </c>
      <c r="O462" s="345">
        <v>43069</v>
      </c>
      <c r="P462" s="345">
        <v>43069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260</v>
      </c>
      <c r="H463" s="341">
        <v>4.3</v>
      </c>
      <c r="I463" s="341"/>
      <c r="J463" s="341" t="s">
        <v>82</v>
      </c>
      <c r="K463" s="342" t="b">
        <f t="shared" si="19"/>
        <v>1</v>
      </c>
      <c r="L463" s="342">
        <v>2</v>
      </c>
      <c r="M463" s="343">
        <v>2019</v>
      </c>
      <c r="N463" s="344">
        <v>0</v>
      </c>
      <c r="O463" s="345">
        <v>43069</v>
      </c>
      <c r="P463" s="345">
        <v>43069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260</v>
      </c>
      <c r="H464" s="341">
        <v>4.3</v>
      </c>
      <c r="I464" s="341"/>
      <c r="J464" s="341" t="s">
        <v>82</v>
      </c>
      <c r="K464" s="342" t="b">
        <f t="shared" si="19"/>
        <v>1</v>
      </c>
      <c r="L464" s="342">
        <v>4</v>
      </c>
      <c r="M464" s="343">
        <v>2021</v>
      </c>
      <c r="N464" s="344">
        <v>0</v>
      </c>
      <c r="O464" s="345">
        <v>43069</v>
      </c>
      <c r="P464" s="345">
        <v>43069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19"/>
        <v>1</v>
      </c>
      <c r="L465" s="342">
        <v>4</v>
      </c>
      <c r="M465" s="343">
        <v>2021</v>
      </c>
      <c r="N465" s="344">
        <v>51977629.81</v>
      </c>
      <c r="O465" s="345">
        <v>43069</v>
      </c>
      <c r="P465" s="345">
        <v>43069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19"/>
        <v>1</v>
      </c>
      <c r="L466" s="342">
        <v>8</v>
      </c>
      <c r="M466" s="343">
        <v>2025</v>
      </c>
      <c r="N466" s="344">
        <v>57000000</v>
      </c>
      <c r="O466" s="345">
        <v>43069</v>
      </c>
      <c r="P466" s="345">
        <v>43069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19"/>
        <v>1</v>
      </c>
      <c r="L467" s="342">
        <v>7</v>
      </c>
      <c r="M467" s="343">
        <v>2024</v>
      </c>
      <c r="N467" s="344">
        <v>55000000</v>
      </c>
      <c r="O467" s="345">
        <v>43069</v>
      </c>
      <c r="P467" s="345">
        <v>43069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19"/>
        <v>1</v>
      </c>
      <c r="L468" s="342">
        <v>3</v>
      </c>
      <c r="M468" s="343">
        <v>2020</v>
      </c>
      <c r="N468" s="344">
        <v>47617916.14</v>
      </c>
      <c r="O468" s="345">
        <v>43069</v>
      </c>
      <c r="P468" s="345">
        <v>43069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19"/>
        <v>1</v>
      </c>
      <c r="L469" s="342">
        <v>2</v>
      </c>
      <c r="M469" s="343">
        <v>2019</v>
      </c>
      <c r="N469" s="344">
        <v>46173704.15</v>
      </c>
      <c r="O469" s="345">
        <v>43069</v>
      </c>
      <c r="P469" s="345">
        <v>43069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19"/>
        <v>1</v>
      </c>
      <c r="L470" s="342">
        <v>0</v>
      </c>
      <c r="M470" s="343">
        <v>2017</v>
      </c>
      <c r="N470" s="344">
        <v>47711301.86</v>
      </c>
      <c r="O470" s="345">
        <v>43069</v>
      </c>
      <c r="P470" s="345">
        <v>43069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19"/>
        <v>1</v>
      </c>
      <c r="L471" s="342">
        <v>6</v>
      </c>
      <c r="M471" s="343">
        <v>2023</v>
      </c>
      <c r="N471" s="344">
        <v>53000000</v>
      </c>
      <c r="O471" s="345">
        <v>43069</v>
      </c>
      <c r="P471" s="345">
        <v>43069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19"/>
        <v>1</v>
      </c>
      <c r="L472" s="342">
        <v>6</v>
      </c>
      <c r="M472" s="343">
        <v>2023</v>
      </c>
      <c r="N472" s="344">
        <v>1535316.79</v>
      </c>
      <c r="O472" s="345">
        <v>43069</v>
      </c>
      <c r="P472" s="345">
        <v>43069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19"/>
        <v>1</v>
      </c>
      <c r="L473" s="342">
        <v>8</v>
      </c>
      <c r="M473" s="343">
        <v>2025</v>
      </c>
      <c r="N473" s="344">
        <v>0</v>
      </c>
      <c r="O473" s="345">
        <v>43069</v>
      </c>
      <c r="P473" s="345">
        <v>43069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19"/>
        <v>1</v>
      </c>
      <c r="L474" s="342">
        <v>0</v>
      </c>
      <c r="M474" s="343">
        <v>2017</v>
      </c>
      <c r="N474" s="344">
        <v>14161536.79</v>
      </c>
      <c r="O474" s="345">
        <v>43069</v>
      </c>
      <c r="P474" s="345">
        <v>43069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19"/>
        <v>1</v>
      </c>
      <c r="L475" s="342">
        <v>4</v>
      </c>
      <c r="M475" s="343">
        <v>2021</v>
      </c>
      <c r="N475" s="344">
        <v>6203320.79</v>
      </c>
      <c r="O475" s="345">
        <v>43069</v>
      </c>
      <c r="P475" s="345">
        <v>43069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19"/>
        <v>1</v>
      </c>
      <c r="L476" s="342">
        <v>7</v>
      </c>
      <c r="M476" s="343">
        <v>2024</v>
      </c>
      <c r="N476" s="344">
        <v>285316.79</v>
      </c>
      <c r="O476" s="345">
        <v>43069</v>
      </c>
      <c r="P476" s="345">
        <v>43069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19"/>
        <v>1</v>
      </c>
      <c r="L477" s="342">
        <v>5</v>
      </c>
      <c r="M477" s="343">
        <v>2022</v>
      </c>
      <c r="N477" s="344">
        <v>3953316.79</v>
      </c>
      <c r="O477" s="345">
        <v>43069</v>
      </c>
      <c r="P477" s="345">
        <v>43069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19"/>
        <v>1</v>
      </c>
      <c r="L478" s="342">
        <v>3</v>
      </c>
      <c r="M478" s="343">
        <v>2020</v>
      </c>
      <c r="N478" s="344">
        <v>8413324.79</v>
      </c>
      <c r="O478" s="345">
        <v>43069</v>
      </c>
      <c r="P478" s="345">
        <v>43069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19"/>
        <v>1</v>
      </c>
      <c r="L479" s="342">
        <v>1</v>
      </c>
      <c r="M479" s="343">
        <v>2018</v>
      </c>
      <c r="N479" s="344">
        <v>12483332.79</v>
      </c>
      <c r="O479" s="345">
        <v>43069</v>
      </c>
      <c r="P479" s="345">
        <v>43069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19"/>
        <v>1</v>
      </c>
      <c r="L480" s="342">
        <v>2</v>
      </c>
      <c r="M480" s="343">
        <v>2019</v>
      </c>
      <c r="N480" s="344">
        <v>10623328.79</v>
      </c>
      <c r="O480" s="345">
        <v>43069</v>
      </c>
      <c r="P480" s="345">
        <v>43069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19"/>
        <v>1</v>
      </c>
      <c r="L481" s="342">
        <v>3</v>
      </c>
      <c r="M481" s="343">
        <v>2020</v>
      </c>
      <c r="N481" s="344">
        <v>0</v>
      </c>
      <c r="O481" s="345">
        <v>43069</v>
      </c>
      <c r="P481" s="345">
        <v>43069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19"/>
        <v>1</v>
      </c>
      <c r="L482" s="342">
        <v>5</v>
      </c>
      <c r="M482" s="343">
        <v>2022</v>
      </c>
      <c r="N482" s="344">
        <v>0</v>
      </c>
      <c r="O482" s="345">
        <v>43069</v>
      </c>
      <c r="P482" s="345">
        <v>43069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19"/>
        <v>1</v>
      </c>
      <c r="L483" s="342">
        <v>2</v>
      </c>
      <c r="M483" s="343">
        <v>2019</v>
      </c>
      <c r="N483" s="344">
        <v>0</v>
      </c>
      <c r="O483" s="345">
        <v>43069</v>
      </c>
      <c r="P483" s="345">
        <v>43069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19"/>
        <v>1</v>
      </c>
      <c r="L484" s="342">
        <v>6</v>
      </c>
      <c r="M484" s="343">
        <v>2023</v>
      </c>
      <c r="N484" s="344">
        <v>0</v>
      </c>
      <c r="O484" s="345">
        <v>43069</v>
      </c>
      <c r="P484" s="345">
        <v>43069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19"/>
        <v>1</v>
      </c>
      <c r="L485" s="342">
        <v>7</v>
      </c>
      <c r="M485" s="343">
        <v>2024</v>
      </c>
      <c r="N485" s="344">
        <v>0</v>
      </c>
      <c r="O485" s="345">
        <v>43069</v>
      </c>
      <c r="P485" s="345">
        <v>43069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19"/>
        <v>1</v>
      </c>
      <c r="L486" s="342">
        <v>4</v>
      </c>
      <c r="M486" s="343">
        <v>2021</v>
      </c>
      <c r="N486" s="344">
        <v>0</v>
      </c>
      <c r="O486" s="345">
        <v>43069</v>
      </c>
      <c r="P486" s="345">
        <v>43069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19"/>
        <v>1</v>
      </c>
      <c r="L487" s="342">
        <v>1</v>
      </c>
      <c r="M487" s="343">
        <v>2018</v>
      </c>
      <c r="N487" s="344">
        <v>0</v>
      </c>
      <c r="O487" s="345">
        <v>43069</v>
      </c>
      <c r="P487" s="345">
        <v>43069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19"/>
        <v>1</v>
      </c>
      <c r="L488" s="342">
        <v>8</v>
      </c>
      <c r="M488" s="343">
        <v>2025</v>
      </c>
      <c r="N488" s="344">
        <v>0</v>
      </c>
      <c r="O488" s="345">
        <v>43069</v>
      </c>
      <c r="P488" s="345">
        <v>43069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19"/>
        <v>1</v>
      </c>
      <c r="L489" s="342">
        <v>0</v>
      </c>
      <c r="M489" s="343">
        <v>2017</v>
      </c>
      <c r="N489" s="344">
        <v>4148462.79</v>
      </c>
      <c r="O489" s="345">
        <v>43069</v>
      </c>
      <c r="P489" s="345">
        <v>43069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19"/>
        <v>1</v>
      </c>
      <c r="L490" s="342">
        <v>4</v>
      </c>
      <c r="M490" s="343">
        <v>2021</v>
      </c>
      <c r="N490" s="344">
        <v>0</v>
      </c>
      <c r="O490" s="345">
        <v>43069</v>
      </c>
      <c r="P490" s="345">
        <v>43069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19"/>
        <v>1</v>
      </c>
      <c r="L491" s="342">
        <v>8</v>
      </c>
      <c r="M491" s="343">
        <v>2025</v>
      </c>
      <c r="N491" s="344">
        <v>0</v>
      </c>
      <c r="O491" s="345">
        <v>43069</v>
      </c>
      <c r="P491" s="345">
        <v>43069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19"/>
        <v>1</v>
      </c>
      <c r="L492" s="342">
        <v>1</v>
      </c>
      <c r="M492" s="343">
        <v>2018</v>
      </c>
      <c r="N492" s="344">
        <v>0</v>
      </c>
      <c r="O492" s="345">
        <v>43069</v>
      </c>
      <c r="P492" s="345">
        <v>43069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19"/>
        <v>1</v>
      </c>
      <c r="L493" s="342">
        <v>2</v>
      </c>
      <c r="M493" s="343">
        <v>2019</v>
      </c>
      <c r="N493" s="344">
        <v>0</v>
      </c>
      <c r="O493" s="345">
        <v>43069</v>
      </c>
      <c r="P493" s="345">
        <v>43069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19"/>
        <v>1</v>
      </c>
      <c r="L494" s="342">
        <v>6</v>
      </c>
      <c r="M494" s="343">
        <v>2023</v>
      </c>
      <c r="N494" s="344">
        <v>0</v>
      </c>
      <c r="O494" s="345">
        <v>43069</v>
      </c>
      <c r="P494" s="345">
        <v>43069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19"/>
        <v>1</v>
      </c>
      <c r="L495" s="342">
        <v>7</v>
      </c>
      <c r="M495" s="343">
        <v>2024</v>
      </c>
      <c r="N495" s="344">
        <v>0</v>
      </c>
      <c r="O495" s="345">
        <v>43069</v>
      </c>
      <c r="P495" s="345">
        <v>43069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19"/>
        <v>1</v>
      </c>
      <c r="L496" s="342">
        <v>0</v>
      </c>
      <c r="M496" s="343">
        <v>2017</v>
      </c>
      <c r="N496" s="344">
        <v>0</v>
      </c>
      <c r="O496" s="345">
        <v>43069</v>
      </c>
      <c r="P496" s="345">
        <v>43069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19"/>
        <v>1</v>
      </c>
      <c r="L497" s="342">
        <v>5</v>
      </c>
      <c r="M497" s="343">
        <v>2022</v>
      </c>
      <c r="N497" s="344">
        <v>0</v>
      </c>
      <c r="O497" s="345">
        <v>43069</v>
      </c>
      <c r="P497" s="345">
        <v>43069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19"/>
        <v>1</v>
      </c>
      <c r="L498" s="342">
        <v>3</v>
      </c>
      <c r="M498" s="343">
        <v>2020</v>
      </c>
      <c r="N498" s="344">
        <v>0</v>
      </c>
      <c r="O498" s="345">
        <v>43069</v>
      </c>
      <c r="P498" s="345">
        <v>43069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19"/>
        <v>1</v>
      </c>
      <c r="L499" s="342">
        <v>2</v>
      </c>
      <c r="M499" s="343">
        <v>2019</v>
      </c>
      <c r="N499" s="344">
        <v>1823829.31</v>
      </c>
      <c r="O499" s="345">
        <v>43069</v>
      </c>
      <c r="P499" s="345">
        <v>43069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19"/>
        <v>1</v>
      </c>
      <c r="L500" s="342">
        <v>6</v>
      </c>
      <c r="M500" s="343">
        <v>2023</v>
      </c>
      <c r="N500" s="344">
        <v>0</v>
      </c>
      <c r="O500" s="345">
        <v>43069</v>
      </c>
      <c r="P500" s="345">
        <v>43069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19"/>
        <v>1</v>
      </c>
      <c r="L501" s="342">
        <v>8</v>
      </c>
      <c r="M501" s="343">
        <v>2025</v>
      </c>
      <c r="N501" s="344">
        <v>0</v>
      </c>
      <c r="O501" s="345">
        <v>43069</v>
      </c>
      <c r="P501" s="345">
        <v>43069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19"/>
        <v>1</v>
      </c>
      <c r="L502" s="342">
        <v>5</v>
      </c>
      <c r="M502" s="343">
        <v>2022</v>
      </c>
      <c r="N502" s="344">
        <v>0</v>
      </c>
      <c r="O502" s="345">
        <v>43069</v>
      </c>
      <c r="P502" s="345">
        <v>43069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19"/>
        <v>1</v>
      </c>
      <c r="L503" s="342">
        <v>0</v>
      </c>
      <c r="M503" s="343">
        <v>2017</v>
      </c>
      <c r="N503" s="344">
        <v>796741</v>
      </c>
      <c r="O503" s="345">
        <v>43069</v>
      </c>
      <c r="P503" s="345">
        <v>43069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19"/>
        <v>1</v>
      </c>
      <c r="L504" s="342">
        <v>4</v>
      </c>
      <c r="M504" s="343">
        <v>2021</v>
      </c>
      <c r="N504" s="344">
        <v>2907462.2</v>
      </c>
      <c r="O504" s="345">
        <v>43069</v>
      </c>
      <c r="P504" s="345">
        <v>43069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19"/>
        <v>1</v>
      </c>
      <c r="L505" s="342">
        <v>7</v>
      </c>
      <c r="M505" s="343">
        <v>2024</v>
      </c>
      <c r="N505" s="344">
        <v>0</v>
      </c>
      <c r="O505" s="345">
        <v>43069</v>
      </c>
      <c r="P505" s="345">
        <v>43069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19"/>
        <v>1</v>
      </c>
      <c r="L506" s="342">
        <v>3</v>
      </c>
      <c r="M506" s="343">
        <v>2020</v>
      </c>
      <c r="N506" s="344">
        <v>512589.91</v>
      </c>
      <c r="O506" s="345">
        <v>43069</v>
      </c>
      <c r="P506" s="345">
        <v>43069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19"/>
        <v>1</v>
      </c>
      <c r="L507" s="342">
        <v>1</v>
      </c>
      <c r="M507" s="343">
        <v>2018</v>
      </c>
      <c r="N507" s="344">
        <v>2783221.68</v>
      </c>
      <c r="O507" s="345">
        <v>43069</v>
      </c>
      <c r="P507" s="345">
        <v>43069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19"/>
        <v>1</v>
      </c>
      <c r="L508" s="342">
        <v>5</v>
      </c>
      <c r="M508" s="343">
        <v>2022</v>
      </c>
      <c r="N508" s="344">
        <v>0</v>
      </c>
      <c r="O508" s="345">
        <v>43069</v>
      </c>
      <c r="P508" s="345">
        <v>43069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19"/>
        <v>1</v>
      </c>
      <c r="L509" s="342">
        <v>7</v>
      </c>
      <c r="M509" s="343">
        <v>2024</v>
      </c>
      <c r="N509" s="344">
        <v>0</v>
      </c>
      <c r="O509" s="345">
        <v>43069</v>
      </c>
      <c r="P509" s="345">
        <v>43069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19"/>
        <v>1</v>
      </c>
      <c r="L510" s="342">
        <v>0</v>
      </c>
      <c r="M510" s="343">
        <v>2017</v>
      </c>
      <c r="N510" s="344">
        <v>0</v>
      </c>
      <c r="O510" s="345">
        <v>43069</v>
      </c>
      <c r="P510" s="345">
        <v>43069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19"/>
        <v>1</v>
      </c>
      <c r="L511" s="342">
        <v>4</v>
      </c>
      <c r="M511" s="343">
        <v>2021</v>
      </c>
      <c r="N511" s="344">
        <v>0</v>
      </c>
      <c r="O511" s="345">
        <v>43069</v>
      </c>
      <c r="P511" s="345">
        <v>43069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19"/>
        <v>1</v>
      </c>
      <c r="L512" s="342">
        <v>3</v>
      </c>
      <c r="M512" s="343">
        <v>2020</v>
      </c>
      <c r="N512" s="344">
        <v>0</v>
      </c>
      <c r="O512" s="345">
        <v>43069</v>
      </c>
      <c r="P512" s="345">
        <v>43069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19"/>
        <v>1</v>
      </c>
      <c r="L513" s="342">
        <v>1</v>
      </c>
      <c r="M513" s="343">
        <v>2018</v>
      </c>
      <c r="N513" s="344">
        <v>0</v>
      </c>
      <c r="O513" s="345">
        <v>43069</v>
      </c>
      <c r="P513" s="345">
        <v>43069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19"/>
        <v>1</v>
      </c>
      <c r="L514" s="342">
        <v>8</v>
      </c>
      <c r="M514" s="343">
        <v>2025</v>
      </c>
      <c r="N514" s="344">
        <v>0</v>
      </c>
      <c r="O514" s="345">
        <v>43069</v>
      </c>
      <c r="P514" s="345">
        <v>43069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19"/>
        <v>1</v>
      </c>
      <c r="L515" s="342">
        <v>6</v>
      </c>
      <c r="M515" s="343">
        <v>2023</v>
      </c>
      <c r="N515" s="344">
        <v>0</v>
      </c>
      <c r="O515" s="345">
        <v>43069</v>
      </c>
      <c r="P515" s="345">
        <v>43069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19"/>
        <v>1</v>
      </c>
      <c r="L516" s="342">
        <v>2</v>
      </c>
      <c r="M516" s="343">
        <v>2019</v>
      </c>
      <c r="N516" s="344">
        <v>0</v>
      </c>
      <c r="O516" s="345">
        <v>43069</v>
      </c>
      <c r="P516" s="345">
        <v>43069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0" ref="K517:K561">FALSE</f>
        <v>0</v>
      </c>
      <c r="L517" s="342">
        <v>8</v>
      </c>
      <c r="M517" s="343">
        <v>2025</v>
      </c>
      <c r="N517" s="344">
        <v>0</v>
      </c>
      <c r="O517" s="345">
        <v>43069</v>
      </c>
      <c r="P517" s="345">
        <v>43069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0"/>
        <v>0</v>
      </c>
      <c r="L518" s="342">
        <v>3</v>
      </c>
      <c r="M518" s="343">
        <v>2020</v>
      </c>
      <c r="N518" s="344">
        <v>12240</v>
      </c>
      <c r="O518" s="345">
        <v>43069</v>
      </c>
      <c r="P518" s="345">
        <v>43069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0"/>
        <v>0</v>
      </c>
      <c r="L519" s="342">
        <v>2</v>
      </c>
      <c r="M519" s="343">
        <v>2019</v>
      </c>
      <c r="N519" s="344">
        <v>12240</v>
      </c>
      <c r="O519" s="345">
        <v>43069</v>
      </c>
      <c r="P519" s="345">
        <v>43069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0"/>
        <v>0</v>
      </c>
      <c r="L520" s="342">
        <v>4</v>
      </c>
      <c r="M520" s="343">
        <v>2021</v>
      </c>
      <c r="N520" s="344">
        <v>17680</v>
      </c>
      <c r="O520" s="345">
        <v>43069</v>
      </c>
      <c r="P520" s="345">
        <v>43069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0"/>
        <v>0</v>
      </c>
      <c r="L521" s="342">
        <v>0</v>
      </c>
      <c r="M521" s="343">
        <v>2017</v>
      </c>
      <c r="N521" s="344">
        <v>95388.21</v>
      </c>
      <c r="O521" s="345">
        <v>43069</v>
      </c>
      <c r="P521" s="345">
        <v>43069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0"/>
        <v>0</v>
      </c>
      <c r="L522" s="342">
        <v>7</v>
      </c>
      <c r="M522" s="343">
        <v>2024</v>
      </c>
      <c r="N522" s="344">
        <v>0</v>
      </c>
      <c r="O522" s="345">
        <v>43069</v>
      </c>
      <c r="P522" s="345">
        <v>43069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0"/>
        <v>0</v>
      </c>
      <c r="L523" s="342">
        <v>5</v>
      </c>
      <c r="M523" s="343">
        <v>2022</v>
      </c>
      <c r="N523" s="344">
        <v>0</v>
      </c>
      <c r="O523" s="345">
        <v>43069</v>
      </c>
      <c r="P523" s="345">
        <v>43069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0"/>
        <v>0</v>
      </c>
      <c r="L524" s="342">
        <v>6</v>
      </c>
      <c r="M524" s="343">
        <v>2023</v>
      </c>
      <c r="N524" s="344">
        <v>0</v>
      </c>
      <c r="O524" s="345">
        <v>43069</v>
      </c>
      <c r="P524" s="345">
        <v>43069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0"/>
        <v>0</v>
      </c>
      <c r="L525" s="342">
        <v>1</v>
      </c>
      <c r="M525" s="343">
        <v>2018</v>
      </c>
      <c r="N525" s="344">
        <v>88679.42</v>
      </c>
      <c r="O525" s="345">
        <v>43069</v>
      </c>
      <c r="P525" s="345">
        <v>43069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0"/>
        <v>0</v>
      </c>
      <c r="L526" s="342">
        <v>5</v>
      </c>
      <c r="M526" s="343">
        <v>2022</v>
      </c>
      <c r="N526" s="344">
        <v>0</v>
      </c>
      <c r="O526" s="345">
        <v>43069</v>
      </c>
      <c r="P526" s="345">
        <v>43069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0"/>
        <v>0</v>
      </c>
      <c r="L527" s="342">
        <v>2</v>
      </c>
      <c r="M527" s="343">
        <v>2019</v>
      </c>
      <c r="N527" s="344">
        <v>1173704.15</v>
      </c>
      <c r="O527" s="345">
        <v>43069</v>
      </c>
      <c r="P527" s="345">
        <v>43069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0"/>
        <v>0</v>
      </c>
      <c r="L528" s="342">
        <v>3</v>
      </c>
      <c r="M528" s="343">
        <v>2020</v>
      </c>
      <c r="N528" s="344">
        <v>617916.14</v>
      </c>
      <c r="O528" s="345">
        <v>43069</v>
      </c>
      <c r="P528" s="345">
        <v>43069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0"/>
        <v>0</v>
      </c>
      <c r="L529" s="342">
        <v>4</v>
      </c>
      <c r="M529" s="343">
        <v>2021</v>
      </c>
      <c r="N529" s="344">
        <v>2977629.81</v>
      </c>
      <c r="O529" s="345">
        <v>43069</v>
      </c>
      <c r="P529" s="345">
        <v>43069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0"/>
        <v>0</v>
      </c>
      <c r="L530" s="342">
        <v>6</v>
      </c>
      <c r="M530" s="343">
        <v>2023</v>
      </c>
      <c r="N530" s="344">
        <v>0</v>
      </c>
      <c r="O530" s="345">
        <v>43069</v>
      </c>
      <c r="P530" s="345">
        <v>43069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0"/>
        <v>0</v>
      </c>
      <c r="L531" s="342">
        <v>1</v>
      </c>
      <c r="M531" s="343">
        <v>2018</v>
      </c>
      <c r="N531" s="344">
        <v>4037531.39</v>
      </c>
      <c r="O531" s="345">
        <v>43069</v>
      </c>
      <c r="P531" s="345">
        <v>43069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0"/>
        <v>0</v>
      </c>
      <c r="L532" s="342">
        <v>7</v>
      </c>
      <c r="M532" s="343">
        <v>2024</v>
      </c>
      <c r="N532" s="344">
        <v>0</v>
      </c>
      <c r="O532" s="345">
        <v>43069</v>
      </c>
      <c r="P532" s="345">
        <v>43069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0"/>
        <v>0</v>
      </c>
      <c r="L533" s="342">
        <v>0</v>
      </c>
      <c r="M533" s="343">
        <v>2017</v>
      </c>
      <c r="N533" s="344">
        <v>799078.34</v>
      </c>
      <c r="O533" s="345">
        <v>43069</v>
      </c>
      <c r="P533" s="345">
        <v>43069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0"/>
        <v>0</v>
      </c>
      <c r="L534" s="342">
        <v>8</v>
      </c>
      <c r="M534" s="343">
        <v>2025</v>
      </c>
      <c r="N534" s="344">
        <v>0</v>
      </c>
      <c r="O534" s="345">
        <v>43069</v>
      </c>
      <c r="P534" s="345">
        <v>43069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0"/>
        <v>0</v>
      </c>
      <c r="L535" s="342">
        <v>7</v>
      </c>
      <c r="M535" s="343">
        <v>2024</v>
      </c>
      <c r="N535" s="344">
        <v>40000</v>
      </c>
      <c r="O535" s="345">
        <v>43069</v>
      </c>
      <c r="P535" s="345">
        <v>43069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0"/>
        <v>0</v>
      </c>
      <c r="L536" s="342">
        <v>5</v>
      </c>
      <c r="M536" s="343">
        <v>2022</v>
      </c>
      <c r="N536" s="344">
        <v>210000</v>
      </c>
      <c r="O536" s="345">
        <v>43069</v>
      </c>
      <c r="P536" s="345">
        <v>43069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0"/>
        <v>0</v>
      </c>
      <c r="L537" s="342">
        <v>2</v>
      </c>
      <c r="M537" s="343">
        <v>2019</v>
      </c>
      <c r="N537" s="344">
        <v>430000</v>
      </c>
      <c r="O537" s="345">
        <v>43069</v>
      </c>
      <c r="P537" s="345">
        <v>43069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0"/>
        <v>0</v>
      </c>
      <c r="L538" s="342">
        <v>3</v>
      </c>
      <c r="M538" s="343">
        <v>2020</v>
      </c>
      <c r="N538" s="344">
        <v>380000</v>
      </c>
      <c r="O538" s="345">
        <v>43069</v>
      </c>
      <c r="P538" s="345">
        <v>43069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0"/>
        <v>0</v>
      </c>
      <c r="L539" s="342">
        <v>4</v>
      </c>
      <c r="M539" s="343">
        <v>2021</v>
      </c>
      <c r="N539" s="344">
        <v>300000</v>
      </c>
      <c r="O539" s="345">
        <v>43069</v>
      </c>
      <c r="P539" s="345">
        <v>43069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0"/>
        <v>0</v>
      </c>
      <c r="L540" s="342">
        <v>6</v>
      </c>
      <c r="M540" s="343">
        <v>2023</v>
      </c>
      <c r="N540" s="344">
        <v>130000</v>
      </c>
      <c r="O540" s="345">
        <v>43069</v>
      </c>
      <c r="P540" s="345">
        <v>43069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0"/>
        <v>0</v>
      </c>
      <c r="L541" s="342">
        <v>8</v>
      </c>
      <c r="M541" s="343">
        <v>2025</v>
      </c>
      <c r="N541" s="344">
        <v>0</v>
      </c>
      <c r="O541" s="345">
        <v>43069</v>
      </c>
      <c r="P541" s="345">
        <v>43069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0"/>
        <v>0</v>
      </c>
      <c r="L542" s="342">
        <v>1</v>
      </c>
      <c r="M542" s="343">
        <v>2018</v>
      </c>
      <c r="N542" s="344">
        <v>450000</v>
      </c>
      <c r="O542" s="345">
        <v>43069</v>
      </c>
      <c r="P542" s="345">
        <v>43069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0"/>
        <v>0</v>
      </c>
      <c r="L543" s="342">
        <v>0</v>
      </c>
      <c r="M543" s="343">
        <v>2017</v>
      </c>
      <c r="N543" s="344">
        <v>458500</v>
      </c>
      <c r="O543" s="345">
        <v>43069</v>
      </c>
      <c r="P543" s="345">
        <v>43069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0"/>
        <v>0</v>
      </c>
      <c r="L544" s="342">
        <v>0</v>
      </c>
      <c r="M544" s="343">
        <v>2017</v>
      </c>
      <c r="N544" s="344">
        <v>121953.6</v>
      </c>
      <c r="O544" s="345">
        <v>43069</v>
      </c>
      <c r="P544" s="345">
        <v>43069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0"/>
        <v>0</v>
      </c>
      <c r="L545" s="342">
        <v>2</v>
      </c>
      <c r="M545" s="343">
        <v>2019</v>
      </c>
      <c r="N545" s="344">
        <v>20300</v>
      </c>
      <c r="O545" s="345">
        <v>43069</v>
      </c>
      <c r="P545" s="345">
        <v>43069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0"/>
        <v>0</v>
      </c>
      <c r="L546" s="342">
        <v>7</v>
      </c>
      <c r="M546" s="343">
        <v>2024</v>
      </c>
      <c r="N546" s="344">
        <v>0</v>
      </c>
      <c r="O546" s="345">
        <v>43069</v>
      </c>
      <c r="P546" s="345">
        <v>43069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0"/>
        <v>0</v>
      </c>
      <c r="L547" s="342">
        <v>5</v>
      </c>
      <c r="M547" s="343">
        <v>2022</v>
      </c>
      <c r="N547" s="344">
        <v>0</v>
      </c>
      <c r="O547" s="345">
        <v>43069</v>
      </c>
      <c r="P547" s="345">
        <v>43069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0"/>
        <v>0</v>
      </c>
      <c r="L548" s="342">
        <v>1</v>
      </c>
      <c r="M548" s="343">
        <v>2018</v>
      </c>
      <c r="N548" s="344">
        <v>130873.56</v>
      </c>
      <c r="O548" s="345">
        <v>43069</v>
      </c>
      <c r="P548" s="345">
        <v>43069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0"/>
        <v>0</v>
      </c>
      <c r="L549" s="342">
        <v>8</v>
      </c>
      <c r="M549" s="343">
        <v>2025</v>
      </c>
      <c r="N549" s="344">
        <v>0</v>
      </c>
      <c r="O549" s="345">
        <v>43069</v>
      </c>
      <c r="P549" s="345">
        <v>43069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0"/>
        <v>0</v>
      </c>
      <c r="L550" s="342">
        <v>4</v>
      </c>
      <c r="M550" s="343">
        <v>2021</v>
      </c>
      <c r="N550" s="344">
        <v>30140</v>
      </c>
      <c r="O550" s="345">
        <v>43069</v>
      </c>
      <c r="P550" s="345">
        <v>43069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0"/>
        <v>0</v>
      </c>
      <c r="L551" s="342">
        <v>3</v>
      </c>
      <c r="M551" s="343">
        <v>2020</v>
      </c>
      <c r="N551" s="344">
        <v>20300</v>
      </c>
      <c r="O551" s="345">
        <v>43069</v>
      </c>
      <c r="P551" s="345">
        <v>43069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0"/>
        <v>0</v>
      </c>
      <c r="L552" s="342">
        <v>6</v>
      </c>
      <c r="M552" s="343">
        <v>2023</v>
      </c>
      <c r="N552" s="344">
        <v>0</v>
      </c>
      <c r="O552" s="345">
        <v>43069</v>
      </c>
      <c r="P552" s="345">
        <v>43069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0"/>
        <v>0</v>
      </c>
      <c r="L553" s="342">
        <v>8</v>
      </c>
      <c r="M553" s="343">
        <v>2025</v>
      </c>
      <c r="N553" s="344">
        <v>14314683.21</v>
      </c>
      <c r="O553" s="345">
        <v>43069</v>
      </c>
      <c r="P553" s="345">
        <v>43069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0"/>
        <v>0</v>
      </c>
      <c r="L554" s="342">
        <v>7</v>
      </c>
      <c r="M554" s="343">
        <v>2024</v>
      </c>
      <c r="N554" s="344">
        <v>11850000</v>
      </c>
      <c r="O554" s="345">
        <v>43069</v>
      </c>
      <c r="P554" s="345">
        <v>43069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0"/>
        <v>0</v>
      </c>
      <c r="L555" s="342">
        <v>3</v>
      </c>
      <c r="M555" s="343">
        <v>2020</v>
      </c>
      <c r="N555" s="344">
        <v>5507912.14</v>
      </c>
      <c r="O555" s="345">
        <v>43069</v>
      </c>
      <c r="P555" s="345">
        <v>43069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0"/>
        <v>0</v>
      </c>
      <c r="L556" s="342">
        <v>6</v>
      </c>
      <c r="M556" s="343">
        <v>2023</v>
      </c>
      <c r="N556" s="344">
        <v>9182000</v>
      </c>
      <c r="O556" s="345">
        <v>43069</v>
      </c>
      <c r="P556" s="345">
        <v>43069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0"/>
        <v>0</v>
      </c>
      <c r="L557" s="342">
        <v>0</v>
      </c>
      <c r="M557" s="343">
        <v>2017</v>
      </c>
      <c r="N557" s="344">
        <v>6923872.79</v>
      </c>
      <c r="O557" s="345">
        <v>43069</v>
      </c>
      <c r="P557" s="345">
        <v>43069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0"/>
        <v>0</v>
      </c>
      <c r="L558" s="342">
        <v>1</v>
      </c>
      <c r="M558" s="343">
        <v>2018</v>
      </c>
      <c r="N558" s="344">
        <v>10987531.39</v>
      </c>
      <c r="O558" s="345">
        <v>43069</v>
      </c>
      <c r="P558" s="345">
        <v>43069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0"/>
        <v>0</v>
      </c>
      <c r="L559" s="342">
        <v>4</v>
      </c>
      <c r="M559" s="343">
        <v>2021</v>
      </c>
      <c r="N559" s="344">
        <v>9367625.81</v>
      </c>
      <c r="O559" s="345">
        <v>43069</v>
      </c>
      <c r="P559" s="345">
        <v>43069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0"/>
        <v>0</v>
      </c>
      <c r="L560" s="342">
        <v>5</v>
      </c>
      <c r="M560" s="343">
        <v>2022</v>
      </c>
      <c r="N560" s="344">
        <v>7849996</v>
      </c>
      <c r="O560" s="345">
        <v>43069</v>
      </c>
      <c r="P560" s="345">
        <v>43069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0"/>
        <v>0</v>
      </c>
      <c r="L561" s="342">
        <v>2</v>
      </c>
      <c r="M561" s="343">
        <v>2019</v>
      </c>
      <c r="N561" s="344">
        <v>4913700.15</v>
      </c>
      <c r="O561" s="345">
        <v>43069</v>
      </c>
      <c r="P561" s="345">
        <v>43069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1" ref="K562:K615">TRUE</f>
        <v>1</v>
      </c>
      <c r="L562" s="342">
        <v>8</v>
      </c>
      <c r="M562" s="343">
        <v>2025</v>
      </c>
      <c r="N562" s="344">
        <v>0</v>
      </c>
      <c r="O562" s="345">
        <v>43069</v>
      </c>
      <c r="P562" s="345">
        <v>43069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1"/>
        <v>1</v>
      </c>
      <c r="L563" s="342">
        <v>3</v>
      </c>
      <c r="M563" s="343">
        <v>2020</v>
      </c>
      <c r="N563" s="344">
        <v>0</v>
      </c>
      <c r="O563" s="345">
        <v>43069</v>
      </c>
      <c r="P563" s="345">
        <v>43069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1"/>
        <v>1</v>
      </c>
      <c r="L564" s="342">
        <v>6</v>
      </c>
      <c r="M564" s="343">
        <v>2023</v>
      </c>
      <c r="N564" s="344">
        <v>0</v>
      </c>
      <c r="O564" s="345">
        <v>43069</v>
      </c>
      <c r="P564" s="345">
        <v>43069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1"/>
        <v>1</v>
      </c>
      <c r="L565" s="342">
        <v>0</v>
      </c>
      <c r="M565" s="343">
        <v>2017</v>
      </c>
      <c r="N565" s="344">
        <v>0</v>
      </c>
      <c r="O565" s="345">
        <v>43069</v>
      </c>
      <c r="P565" s="345">
        <v>43069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1"/>
        <v>1</v>
      </c>
      <c r="L566" s="342">
        <v>4</v>
      </c>
      <c r="M566" s="343">
        <v>2021</v>
      </c>
      <c r="N566" s="344">
        <v>0</v>
      </c>
      <c r="O566" s="345">
        <v>43069</v>
      </c>
      <c r="P566" s="345">
        <v>43069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1"/>
        <v>1</v>
      </c>
      <c r="L567" s="342">
        <v>2</v>
      </c>
      <c r="M567" s="343">
        <v>2019</v>
      </c>
      <c r="N567" s="344">
        <v>0</v>
      </c>
      <c r="O567" s="345">
        <v>43069</v>
      </c>
      <c r="P567" s="345">
        <v>43069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1"/>
        <v>1</v>
      </c>
      <c r="L568" s="342">
        <v>7</v>
      </c>
      <c r="M568" s="343">
        <v>2024</v>
      </c>
      <c r="N568" s="344">
        <v>0</v>
      </c>
      <c r="O568" s="345">
        <v>43069</v>
      </c>
      <c r="P568" s="345">
        <v>43069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1"/>
        <v>1</v>
      </c>
      <c r="L569" s="342">
        <v>1</v>
      </c>
      <c r="M569" s="343">
        <v>2018</v>
      </c>
      <c r="N569" s="344">
        <v>0</v>
      </c>
      <c r="O569" s="345">
        <v>43069</v>
      </c>
      <c r="P569" s="345">
        <v>43069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1"/>
        <v>1</v>
      </c>
      <c r="L570" s="342">
        <v>5</v>
      </c>
      <c r="M570" s="343">
        <v>2022</v>
      </c>
      <c r="N570" s="344">
        <v>0</v>
      </c>
      <c r="O570" s="345">
        <v>43069</v>
      </c>
      <c r="P570" s="345">
        <v>43069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1"/>
        <v>1</v>
      </c>
      <c r="L571" s="342">
        <v>6</v>
      </c>
      <c r="M571" s="343">
        <v>2023</v>
      </c>
      <c r="N571" s="344">
        <v>0</v>
      </c>
      <c r="O571" s="345">
        <v>43069</v>
      </c>
      <c r="P571" s="345">
        <v>43069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1"/>
        <v>1</v>
      </c>
      <c r="L572" s="342">
        <v>1</v>
      </c>
      <c r="M572" s="343">
        <v>2018</v>
      </c>
      <c r="N572" s="344">
        <v>0</v>
      </c>
      <c r="O572" s="345">
        <v>43069</v>
      </c>
      <c r="P572" s="345">
        <v>43069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1"/>
        <v>1</v>
      </c>
      <c r="L573" s="342">
        <v>5</v>
      </c>
      <c r="M573" s="343">
        <v>2022</v>
      </c>
      <c r="N573" s="344">
        <v>0</v>
      </c>
      <c r="O573" s="345">
        <v>43069</v>
      </c>
      <c r="P573" s="345">
        <v>43069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1"/>
        <v>1</v>
      </c>
      <c r="L574" s="342">
        <v>0</v>
      </c>
      <c r="M574" s="343">
        <v>2017</v>
      </c>
      <c r="N574" s="344">
        <v>0</v>
      </c>
      <c r="O574" s="345">
        <v>43069</v>
      </c>
      <c r="P574" s="345">
        <v>43069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1"/>
        <v>1</v>
      </c>
      <c r="L575" s="342">
        <v>7</v>
      </c>
      <c r="M575" s="343">
        <v>2024</v>
      </c>
      <c r="N575" s="344">
        <v>0</v>
      </c>
      <c r="O575" s="345">
        <v>43069</v>
      </c>
      <c r="P575" s="345">
        <v>43069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1"/>
        <v>1</v>
      </c>
      <c r="L576" s="342">
        <v>2</v>
      </c>
      <c r="M576" s="343">
        <v>2019</v>
      </c>
      <c r="N576" s="344">
        <v>0</v>
      </c>
      <c r="O576" s="345">
        <v>43069</v>
      </c>
      <c r="P576" s="345">
        <v>43069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1"/>
        <v>1</v>
      </c>
      <c r="L577" s="342">
        <v>4</v>
      </c>
      <c r="M577" s="343">
        <v>2021</v>
      </c>
      <c r="N577" s="344">
        <v>0</v>
      </c>
      <c r="O577" s="345">
        <v>43069</v>
      </c>
      <c r="P577" s="345">
        <v>43069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1"/>
        <v>1</v>
      </c>
      <c r="L578" s="342">
        <v>8</v>
      </c>
      <c r="M578" s="343">
        <v>2025</v>
      </c>
      <c r="N578" s="344">
        <v>0</v>
      </c>
      <c r="O578" s="345">
        <v>43069</v>
      </c>
      <c r="P578" s="345">
        <v>43069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1"/>
        <v>1</v>
      </c>
      <c r="L579" s="342">
        <v>3</v>
      </c>
      <c r="M579" s="343">
        <v>2020</v>
      </c>
      <c r="N579" s="344">
        <v>0</v>
      </c>
      <c r="O579" s="345">
        <v>43069</v>
      </c>
      <c r="P579" s="345">
        <v>43069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1"/>
        <v>1</v>
      </c>
      <c r="L580" s="342">
        <v>0</v>
      </c>
      <c r="M580" s="343">
        <v>2017</v>
      </c>
      <c r="N580" s="344">
        <v>9500</v>
      </c>
      <c r="O580" s="345">
        <v>43069</v>
      </c>
      <c r="P580" s="345">
        <v>43069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1"/>
        <v>1</v>
      </c>
      <c r="L581" s="342">
        <v>5</v>
      </c>
      <c r="M581" s="343">
        <v>2022</v>
      </c>
      <c r="N581" s="344">
        <v>123000</v>
      </c>
      <c r="O581" s="345">
        <v>43069</v>
      </c>
      <c r="P581" s="345">
        <v>43069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1"/>
        <v>1</v>
      </c>
      <c r="L582" s="342">
        <v>8</v>
      </c>
      <c r="M582" s="343">
        <v>2025</v>
      </c>
      <c r="N582" s="344">
        <v>129000</v>
      </c>
      <c r="O582" s="345">
        <v>43069</v>
      </c>
      <c r="P582" s="345">
        <v>43069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1"/>
        <v>1</v>
      </c>
      <c r="L583" s="342">
        <v>7</v>
      </c>
      <c r="M583" s="343">
        <v>2024</v>
      </c>
      <c r="N583" s="344">
        <v>127000</v>
      </c>
      <c r="O583" s="345">
        <v>43069</v>
      </c>
      <c r="P583" s="345">
        <v>43069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1"/>
        <v>1</v>
      </c>
      <c r="L584" s="342">
        <v>2</v>
      </c>
      <c r="M584" s="343">
        <v>2019</v>
      </c>
      <c r="N584" s="344">
        <v>117000</v>
      </c>
      <c r="O584" s="345">
        <v>43069</v>
      </c>
      <c r="P584" s="345">
        <v>43069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1"/>
        <v>1</v>
      </c>
      <c r="L585" s="342">
        <v>1</v>
      </c>
      <c r="M585" s="343">
        <v>2018</v>
      </c>
      <c r="N585" s="344">
        <v>116000</v>
      </c>
      <c r="O585" s="345">
        <v>43069</v>
      </c>
      <c r="P585" s="345">
        <v>43069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1"/>
        <v>1</v>
      </c>
      <c r="L586" s="342">
        <v>4</v>
      </c>
      <c r="M586" s="343">
        <v>2021</v>
      </c>
      <c r="N586" s="344">
        <v>121000</v>
      </c>
      <c r="O586" s="345">
        <v>43069</v>
      </c>
      <c r="P586" s="345">
        <v>43069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1"/>
        <v>1</v>
      </c>
      <c r="L587" s="342">
        <v>3</v>
      </c>
      <c r="M587" s="343">
        <v>2020</v>
      </c>
      <c r="N587" s="344">
        <v>119000</v>
      </c>
      <c r="O587" s="345">
        <v>43069</v>
      </c>
      <c r="P587" s="345">
        <v>43069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1"/>
        <v>1</v>
      </c>
      <c r="L588" s="342">
        <v>6</v>
      </c>
      <c r="M588" s="343">
        <v>2023</v>
      </c>
      <c r="N588" s="344">
        <v>125000</v>
      </c>
      <c r="O588" s="345">
        <v>43069</v>
      </c>
      <c r="P588" s="345">
        <v>43069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1"/>
        <v>1</v>
      </c>
      <c r="L589" s="342">
        <v>0</v>
      </c>
      <c r="M589" s="343">
        <v>2017</v>
      </c>
      <c r="N589" s="344">
        <v>0</v>
      </c>
      <c r="O589" s="345">
        <v>43069</v>
      </c>
      <c r="P589" s="345">
        <v>43069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1"/>
        <v>1</v>
      </c>
      <c r="L590" s="342">
        <v>8</v>
      </c>
      <c r="M590" s="343">
        <v>2025</v>
      </c>
      <c r="N590" s="344">
        <v>0</v>
      </c>
      <c r="O590" s="345">
        <v>43069</v>
      </c>
      <c r="P590" s="345">
        <v>43069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1"/>
        <v>1</v>
      </c>
      <c r="L591" s="342">
        <v>5</v>
      </c>
      <c r="M591" s="343">
        <v>2022</v>
      </c>
      <c r="N591" s="344">
        <v>0</v>
      </c>
      <c r="O591" s="345">
        <v>43069</v>
      </c>
      <c r="P591" s="345">
        <v>43069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1"/>
        <v>1</v>
      </c>
      <c r="L592" s="342">
        <v>3</v>
      </c>
      <c r="M592" s="343">
        <v>2020</v>
      </c>
      <c r="N592" s="344">
        <v>0</v>
      </c>
      <c r="O592" s="345">
        <v>43069</v>
      </c>
      <c r="P592" s="345">
        <v>43069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1"/>
        <v>1</v>
      </c>
      <c r="L593" s="342">
        <v>1</v>
      </c>
      <c r="M593" s="343">
        <v>2018</v>
      </c>
      <c r="N593" s="344">
        <v>0</v>
      </c>
      <c r="O593" s="345">
        <v>43069</v>
      </c>
      <c r="P593" s="345">
        <v>43069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1"/>
        <v>1</v>
      </c>
      <c r="L594" s="342">
        <v>6</v>
      </c>
      <c r="M594" s="343">
        <v>2023</v>
      </c>
      <c r="N594" s="344">
        <v>0</v>
      </c>
      <c r="O594" s="345">
        <v>43069</v>
      </c>
      <c r="P594" s="345">
        <v>43069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1"/>
        <v>1</v>
      </c>
      <c r="L595" s="342">
        <v>2</v>
      </c>
      <c r="M595" s="343">
        <v>2019</v>
      </c>
      <c r="N595" s="344">
        <v>0</v>
      </c>
      <c r="O595" s="345">
        <v>43069</v>
      </c>
      <c r="P595" s="345">
        <v>43069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1"/>
        <v>1</v>
      </c>
      <c r="L596" s="342">
        <v>4</v>
      </c>
      <c r="M596" s="343">
        <v>2021</v>
      </c>
      <c r="N596" s="344">
        <v>0</v>
      </c>
      <c r="O596" s="345">
        <v>43069</v>
      </c>
      <c r="P596" s="345">
        <v>43069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1"/>
        <v>1</v>
      </c>
      <c r="L597" s="342">
        <v>7</v>
      </c>
      <c r="M597" s="343">
        <v>2024</v>
      </c>
      <c r="N597" s="344">
        <v>0</v>
      </c>
      <c r="O597" s="345">
        <v>43069</v>
      </c>
      <c r="P597" s="345">
        <v>43069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1"/>
        <v>1</v>
      </c>
      <c r="L598" s="342">
        <v>7</v>
      </c>
      <c r="M598" s="343">
        <v>2024</v>
      </c>
      <c r="N598" s="344">
        <v>0</v>
      </c>
      <c r="O598" s="345">
        <v>43069</v>
      </c>
      <c r="P598" s="345">
        <v>43069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1"/>
        <v>1</v>
      </c>
      <c r="L599" s="342">
        <v>0</v>
      </c>
      <c r="M599" s="343">
        <v>2017</v>
      </c>
      <c r="N599" s="344">
        <v>0</v>
      </c>
      <c r="O599" s="345">
        <v>43069</v>
      </c>
      <c r="P599" s="345">
        <v>43069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1"/>
        <v>1</v>
      </c>
      <c r="L600" s="342">
        <v>1</v>
      </c>
      <c r="M600" s="343">
        <v>2018</v>
      </c>
      <c r="N600" s="344">
        <v>0</v>
      </c>
      <c r="O600" s="345">
        <v>43069</v>
      </c>
      <c r="P600" s="345">
        <v>43069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1"/>
        <v>1</v>
      </c>
      <c r="L601" s="342">
        <v>4</v>
      </c>
      <c r="M601" s="343">
        <v>2021</v>
      </c>
      <c r="N601" s="344">
        <v>0</v>
      </c>
      <c r="O601" s="345">
        <v>43069</v>
      </c>
      <c r="P601" s="345">
        <v>43069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1"/>
        <v>1</v>
      </c>
      <c r="L602" s="342">
        <v>6</v>
      </c>
      <c r="M602" s="343">
        <v>2023</v>
      </c>
      <c r="N602" s="344">
        <v>0</v>
      </c>
      <c r="O602" s="345">
        <v>43069</v>
      </c>
      <c r="P602" s="345">
        <v>43069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1"/>
        <v>1</v>
      </c>
      <c r="L603" s="342">
        <v>2</v>
      </c>
      <c r="M603" s="343">
        <v>2019</v>
      </c>
      <c r="N603" s="344">
        <v>0</v>
      </c>
      <c r="O603" s="345">
        <v>43069</v>
      </c>
      <c r="P603" s="345">
        <v>43069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1"/>
        <v>1</v>
      </c>
      <c r="L604" s="342">
        <v>3</v>
      </c>
      <c r="M604" s="343">
        <v>2020</v>
      </c>
      <c r="N604" s="344">
        <v>0</v>
      </c>
      <c r="O604" s="345">
        <v>43069</v>
      </c>
      <c r="P604" s="345">
        <v>43069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1"/>
        <v>1</v>
      </c>
      <c r="L605" s="342">
        <v>5</v>
      </c>
      <c r="M605" s="343">
        <v>2022</v>
      </c>
      <c r="N605" s="344">
        <v>0</v>
      </c>
      <c r="O605" s="345">
        <v>43069</v>
      </c>
      <c r="P605" s="345">
        <v>43069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1"/>
        <v>1</v>
      </c>
      <c r="L606" s="342">
        <v>8</v>
      </c>
      <c r="M606" s="343">
        <v>2025</v>
      </c>
      <c r="N606" s="344">
        <v>0</v>
      </c>
      <c r="O606" s="345">
        <v>43069</v>
      </c>
      <c r="P606" s="345">
        <v>43069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1"/>
        <v>1</v>
      </c>
      <c r="L607" s="342">
        <v>2</v>
      </c>
      <c r="M607" s="343">
        <v>2019</v>
      </c>
      <c r="N607" s="344">
        <v>2989473.46</v>
      </c>
      <c r="O607" s="345">
        <v>43069</v>
      </c>
      <c r="P607" s="345">
        <v>43069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1"/>
        <v>1</v>
      </c>
      <c r="L608" s="342">
        <v>3</v>
      </c>
      <c r="M608" s="343">
        <v>2020</v>
      </c>
      <c r="N608" s="344">
        <v>1122446.05</v>
      </c>
      <c r="O608" s="345">
        <v>43069</v>
      </c>
      <c r="P608" s="345">
        <v>43069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1"/>
        <v>1</v>
      </c>
      <c r="L609" s="342">
        <v>1</v>
      </c>
      <c r="M609" s="343">
        <v>2018</v>
      </c>
      <c r="N609" s="344">
        <v>6778558.93</v>
      </c>
      <c r="O609" s="345">
        <v>43069</v>
      </c>
      <c r="P609" s="345">
        <v>43069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1"/>
        <v>1</v>
      </c>
      <c r="L610" s="342">
        <v>4</v>
      </c>
      <c r="M610" s="343">
        <v>2021</v>
      </c>
      <c r="N610" s="344">
        <v>5872632.01</v>
      </c>
      <c r="O610" s="345">
        <v>43069</v>
      </c>
      <c r="P610" s="345">
        <v>43069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1"/>
        <v>1</v>
      </c>
      <c r="L611" s="342">
        <v>6</v>
      </c>
      <c r="M611" s="343">
        <v>2023</v>
      </c>
      <c r="N611" s="344">
        <v>0</v>
      </c>
      <c r="O611" s="345">
        <v>43069</v>
      </c>
      <c r="P611" s="345">
        <v>43069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1"/>
        <v>1</v>
      </c>
      <c r="L612" s="342">
        <v>0</v>
      </c>
      <c r="M612" s="343">
        <v>2017</v>
      </c>
      <c r="N612" s="344">
        <v>1540718.69</v>
      </c>
      <c r="O612" s="345">
        <v>43069</v>
      </c>
      <c r="P612" s="345">
        <v>43069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1"/>
        <v>1</v>
      </c>
      <c r="L613" s="342">
        <v>5</v>
      </c>
      <c r="M613" s="343">
        <v>2022</v>
      </c>
      <c r="N613" s="344">
        <v>0</v>
      </c>
      <c r="O613" s="345">
        <v>43069</v>
      </c>
      <c r="P613" s="345">
        <v>43069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1"/>
        <v>1</v>
      </c>
      <c r="L614" s="342">
        <v>7</v>
      </c>
      <c r="M614" s="343">
        <v>2024</v>
      </c>
      <c r="N614" s="344">
        <v>0</v>
      </c>
      <c r="O614" s="345">
        <v>43069</v>
      </c>
      <c r="P614" s="345">
        <v>43069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1"/>
        <v>1</v>
      </c>
      <c r="L615" s="342">
        <v>8</v>
      </c>
      <c r="M615" s="343">
        <v>2025</v>
      </c>
      <c r="N615" s="344">
        <v>0</v>
      </c>
      <c r="O615" s="345">
        <v>43069</v>
      </c>
      <c r="P615" s="345">
        <v>43069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420</v>
      </c>
      <c r="H616" s="341">
        <v>8.1</v>
      </c>
      <c r="I616" s="341" t="s">
        <v>431</v>
      </c>
      <c r="J616" s="341" t="s">
        <v>110</v>
      </c>
      <c r="K616" s="342" t="b">
        <f>FALSE</f>
        <v>0</v>
      </c>
      <c r="L616" s="342">
        <v>7</v>
      </c>
      <c r="M616" s="343">
        <v>2024</v>
      </c>
      <c r="N616" s="344">
        <v>13100000</v>
      </c>
      <c r="O616" s="345">
        <v>43069</v>
      </c>
      <c r="P616" s="345">
        <v>43069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aca="true" t="shared" si="22" ref="K617:K634">TRUE</f>
        <v>1</v>
      </c>
      <c r="L617" s="342">
        <v>3</v>
      </c>
      <c r="M617" s="343">
        <v>2020</v>
      </c>
      <c r="N617" s="344">
        <v>12240</v>
      </c>
      <c r="O617" s="345">
        <v>43069</v>
      </c>
      <c r="P617" s="345">
        <v>43069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5</v>
      </c>
      <c r="M618" s="343">
        <v>2022</v>
      </c>
      <c r="N618" s="344">
        <v>0</v>
      </c>
      <c r="O618" s="345">
        <v>43069</v>
      </c>
      <c r="P618" s="345">
        <v>43069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12240</v>
      </c>
      <c r="O619" s="345">
        <v>43069</v>
      </c>
      <c r="P619" s="345">
        <v>43069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43069</v>
      </c>
      <c r="P620" s="345">
        <v>43069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1</v>
      </c>
      <c r="M621" s="343">
        <v>2018</v>
      </c>
      <c r="N621" s="344">
        <v>88679.42</v>
      </c>
      <c r="O621" s="345">
        <v>43069</v>
      </c>
      <c r="P621" s="345">
        <v>43069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2021</v>
      </c>
      <c r="N622" s="344">
        <v>17680</v>
      </c>
      <c r="O622" s="345">
        <v>43069</v>
      </c>
      <c r="P622" s="345">
        <v>43069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8</v>
      </c>
      <c r="M623" s="343">
        <v>2025</v>
      </c>
      <c r="N623" s="344">
        <v>0</v>
      </c>
      <c r="O623" s="345">
        <v>43069</v>
      </c>
      <c r="P623" s="345">
        <v>43069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2017</v>
      </c>
      <c r="N624" s="344">
        <v>95388.21</v>
      </c>
      <c r="O624" s="345">
        <v>43069</v>
      </c>
      <c r="P624" s="345">
        <v>43069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690</v>
      </c>
      <c r="H625" s="341" t="s">
        <v>179</v>
      </c>
      <c r="I625" s="341"/>
      <c r="J625" s="341" t="s">
        <v>180</v>
      </c>
      <c r="K625" s="342" t="b">
        <f t="shared" si="22"/>
        <v>1</v>
      </c>
      <c r="L625" s="342">
        <v>6</v>
      </c>
      <c r="M625" s="343">
        <v>2023</v>
      </c>
      <c r="N625" s="344">
        <v>0</v>
      </c>
      <c r="O625" s="345">
        <v>43069</v>
      </c>
      <c r="P625" s="345">
        <v>43069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4</v>
      </c>
      <c r="M626" s="343">
        <v>2021</v>
      </c>
      <c r="N626" s="344">
        <v>0</v>
      </c>
      <c r="O626" s="345">
        <v>43069</v>
      </c>
      <c r="P626" s="345">
        <v>43069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2</v>
      </c>
      <c r="M627" s="343">
        <v>2019</v>
      </c>
      <c r="N627" s="344">
        <v>0</v>
      </c>
      <c r="O627" s="345">
        <v>43069</v>
      </c>
      <c r="P627" s="345">
        <v>43069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6</v>
      </c>
      <c r="M628" s="343">
        <v>2023</v>
      </c>
      <c r="N628" s="344">
        <v>0</v>
      </c>
      <c r="O628" s="345">
        <v>43069</v>
      </c>
      <c r="P628" s="345">
        <v>43069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2020</v>
      </c>
      <c r="N629" s="344">
        <v>0</v>
      </c>
      <c r="O629" s="345">
        <v>43069</v>
      </c>
      <c r="P629" s="345">
        <v>43069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7</v>
      </c>
      <c r="M630" s="343">
        <v>2024</v>
      </c>
      <c r="N630" s="344">
        <v>0</v>
      </c>
      <c r="O630" s="345">
        <v>43069</v>
      </c>
      <c r="P630" s="345">
        <v>43069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8</v>
      </c>
      <c r="M631" s="343">
        <v>2025</v>
      </c>
      <c r="N631" s="344">
        <v>0</v>
      </c>
      <c r="O631" s="345">
        <v>43069</v>
      </c>
      <c r="P631" s="345">
        <v>43069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5</v>
      </c>
      <c r="M632" s="343">
        <v>2022</v>
      </c>
      <c r="N632" s="344">
        <v>0</v>
      </c>
      <c r="O632" s="345">
        <v>43069</v>
      </c>
      <c r="P632" s="345">
        <v>43069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0</v>
      </c>
      <c r="M633" s="343">
        <v>2017</v>
      </c>
      <c r="N633" s="344">
        <v>0</v>
      </c>
      <c r="O633" s="345">
        <v>43069</v>
      </c>
      <c r="P633" s="345">
        <v>43069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930</v>
      </c>
      <c r="H634" s="341" t="s">
        <v>264</v>
      </c>
      <c r="I634" s="341"/>
      <c r="J634" s="341" t="s">
        <v>265</v>
      </c>
      <c r="K634" s="342" t="b">
        <f t="shared" si="22"/>
        <v>1</v>
      </c>
      <c r="L634" s="342">
        <v>1</v>
      </c>
      <c r="M634" s="343">
        <v>2018</v>
      </c>
      <c r="N634" s="344">
        <v>0</v>
      </c>
      <c r="O634" s="345">
        <v>43069</v>
      </c>
      <c r="P634" s="345">
        <v>43069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aca="true" t="shared" si="23" ref="K635:K660">FALSE</f>
        <v>0</v>
      </c>
      <c r="L635" s="342">
        <v>0</v>
      </c>
      <c r="M635" s="343">
        <v>2017</v>
      </c>
      <c r="N635" s="344">
        <v>1566375.45</v>
      </c>
      <c r="O635" s="345">
        <v>43069</v>
      </c>
      <c r="P635" s="345">
        <v>43069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43069</v>
      </c>
      <c r="P636" s="345">
        <v>43069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43069</v>
      </c>
      <c r="P637" s="345">
        <v>43069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2025</v>
      </c>
      <c r="N638" s="344">
        <v>14600000</v>
      </c>
      <c r="O638" s="345">
        <v>43069</v>
      </c>
      <c r="P638" s="345">
        <v>43069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2020</v>
      </c>
      <c r="N639" s="344">
        <v>7100000</v>
      </c>
      <c r="O639" s="345">
        <v>43069</v>
      </c>
      <c r="P639" s="345">
        <v>43069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5</v>
      </c>
      <c r="M640" s="343">
        <v>2022</v>
      </c>
      <c r="N640" s="344">
        <v>10100000</v>
      </c>
      <c r="O640" s="345">
        <v>43069</v>
      </c>
      <c r="P640" s="345">
        <v>43069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6</v>
      </c>
      <c r="M641" s="343">
        <v>2023</v>
      </c>
      <c r="N641" s="344">
        <v>11600000</v>
      </c>
      <c r="O641" s="345">
        <v>43069</v>
      </c>
      <c r="P641" s="345">
        <v>43069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2021</v>
      </c>
      <c r="N642" s="344">
        <v>8600000</v>
      </c>
      <c r="O642" s="345">
        <v>43069</v>
      </c>
      <c r="P642" s="345">
        <v>43069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5</v>
      </c>
      <c r="M643" s="343">
        <v>2022</v>
      </c>
      <c r="N643" s="344">
        <v>0</v>
      </c>
      <c r="O643" s="345">
        <v>43069</v>
      </c>
      <c r="P643" s="345">
        <v>43069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2025</v>
      </c>
      <c r="N644" s="344">
        <v>0</v>
      </c>
      <c r="O644" s="345">
        <v>43069</v>
      </c>
      <c r="P644" s="345">
        <v>43069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4</v>
      </c>
      <c r="M645" s="343">
        <v>2021</v>
      </c>
      <c r="N645" s="344">
        <v>30140</v>
      </c>
      <c r="O645" s="345">
        <v>43069</v>
      </c>
      <c r="P645" s="345">
        <v>43069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6</v>
      </c>
      <c r="M646" s="343">
        <v>2023</v>
      </c>
      <c r="N646" s="344">
        <v>0</v>
      </c>
      <c r="O646" s="345">
        <v>43069</v>
      </c>
      <c r="P646" s="345">
        <v>43069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20300</v>
      </c>
      <c r="O647" s="345">
        <v>43069</v>
      </c>
      <c r="P647" s="345">
        <v>43069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20300</v>
      </c>
      <c r="O648" s="345">
        <v>43069</v>
      </c>
      <c r="P648" s="345">
        <v>43069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7</v>
      </c>
      <c r="M649" s="343">
        <v>2024</v>
      </c>
      <c r="N649" s="344">
        <v>0</v>
      </c>
      <c r="O649" s="345">
        <v>43069</v>
      </c>
      <c r="P649" s="345">
        <v>43069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0</v>
      </c>
      <c r="M650" s="343">
        <v>2017</v>
      </c>
      <c r="N650" s="344">
        <v>121953.6</v>
      </c>
      <c r="O650" s="345">
        <v>43069</v>
      </c>
      <c r="P650" s="345">
        <v>43069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1</v>
      </c>
      <c r="M651" s="343">
        <v>2018</v>
      </c>
      <c r="N651" s="344">
        <v>130873.56</v>
      </c>
      <c r="O651" s="345">
        <v>43069</v>
      </c>
      <c r="P651" s="345">
        <v>43069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48930771.86</v>
      </c>
      <c r="O652" s="345">
        <v>43069</v>
      </c>
      <c r="P652" s="345">
        <v>43069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3</v>
      </c>
      <c r="M653" s="343">
        <v>2020</v>
      </c>
      <c r="N653" s="344">
        <v>45407912.14</v>
      </c>
      <c r="O653" s="345">
        <v>43069</v>
      </c>
      <c r="P653" s="345">
        <v>43069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2018</v>
      </c>
      <c r="N654" s="344">
        <v>50345808.54</v>
      </c>
      <c r="O654" s="345">
        <v>43069</v>
      </c>
      <c r="P654" s="345">
        <v>43069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43069</v>
      </c>
      <c r="P655" s="345">
        <v>43069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2</v>
      </c>
      <c r="M656" s="343">
        <v>2019</v>
      </c>
      <c r="N656" s="344">
        <v>44313700.15</v>
      </c>
      <c r="O656" s="345">
        <v>43069</v>
      </c>
      <c r="P656" s="345">
        <v>43069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7</v>
      </c>
      <c r="M657" s="343">
        <v>2024</v>
      </c>
      <c r="N657" s="344">
        <v>53750000</v>
      </c>
      <c r="O657" s="345">
        <v>43069</v>
      </c>
      <c r="P657" s="345">
        <v>43069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4</v>
      </c>
      <c r="M658" s="343">
        <v>2021</v>
      </c>
      <c r="N658" s="344">
        <v>49767625.81</v>
      </c>
      <c r="O658" s="345">
        <v>43069</v>
      </c>
      <c r="P658" s="345">
        <v>43069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5</v>
      </c>
      <c r="M659" s="343">
        <v>2022</v>
      </c>
      <c r="N659" s="344">
        <v>48749996</v>
      </c>
      <c r="O659" s="345">
        <v>43069</v>
      </c>
      <c r="P659" s="345">
        <v>43069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6</v>
      </c>
      <c r="M660" s="343">
        <v>2023</v>
      </c>
      <c r="N660" s="344">
        <v>50582000</v>
      </c>
      <c r="O660" s="345">
        <v>43069</v>
      </c>
      <c r="P660" s="345">
        <v>43069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170</v>
      </c>
      <c r="H661" s="341" t="s">
        <v>53</v>
      </c>
      <c r="I661" s="341"/>
      <c r="J661" s="341" t="s">
        <v>54</v>
      </c>
      <c r="K661" s="342" t="b">
        <f aca="true" t="shared" si="24" ref="K661:K723">TRUE</f>
        <v>1</v>
      </c>
      <c r="L661" s="342">
        <v>5</v>
      </c>
      <c r="M661" s="343">
        <v>2022</v>
      </c>
      <c r="N661" s="344">
        <v>210000</v>
      </c>
      <c r="O661" s="345">
        <v>43069</v>
      </c>
      <c r="P661" s="345">
        <v>43069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761</v>
      </c>
      <c r="H662" s="341" t="s">
        <v>202</v>
      </c>
      <c r="I662" s="341"/>
      <c r="J662" s="341" t="s">
        <v>203</v>
      </c>
      <c r="K662" s="342" t="b">
        <f t="shared" si="24"/>
        <v>1</v>
      </c>
      <c r="L662" s="342">
        <v>8</v>
      </c>
      <c r="M662" s="343">
        <v>2025</v>
      </c>
      <c r="N662" s="344">
        <v>0</v>
      </c>
      <c r="O662" s="345">
        <v>43069</v>
      </c>
      <c r="P662" s="345">
        <v>43069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2</v>
      </c>
      <c r="M663" s="343">
        <v>2019</v>
      </c>
      <c r="N663" s="344">
        <v>0.0931</v>
      </c>
      <c r="O663" s="345">
        <v>43069</v>
      </c>
      <c r="P663" s="345">
        <v>43069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5</v>
      </c>
      <c r="M664" s="343">
        <v>2022</v>
      </c>
      <c r="N664" s="344">
        <v>0.1453</v>
      </c>
      <c r="O664" s="345">
        <v>43069</v>
      </c>
      <c r="P664" s="345">
        <v>43069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8</v>
      </c>
      <c r="M665" s="343">
        <v>2025</v>
      </c>
      <c r="N665" s="344">
        <v>0.2184</v>
      </c>
      <c r="O665" s="345">
        <v>43069</v>
      </c>
      <c r="P665" s="345">
        <v>43069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6</v>
      </c>
      <c r="M666" s="343">
        <v>2023</v>
      </c>
      <c r="N666" s="344">
        <v>0.1709</v>
      </c>
      <c r="O666" s="345">
        <v>43069</v>
      </c>
      <c r="P666" s="345">
        <v>43069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0</v>
      </c>
      <c r="M667" s="343">
        <v>2017</v>
      </c>
      <c r="N667" s="344">
        <v>0.0761</v>
      </c>
      <c r="O667" s="345">
        <v>43069</v>
      </c>
      <c r="P667" s="345">
        <v>43069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4</v>
      </c>
      <c r="M668" s="343">
        <v>2021</v>
      </c>
      <c r="N668" s="344">
        <v>0.1454</v>
      </c>
      <c r="O668" s="345">
        <v>43069</v>
      </c>
      <c r="P668" s="345">
        <v>43069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7</v>
      </c>
      <c r="M669" s="343">
        <v>2024</v>
      </c>
      <c r="N669" s="344">
        <v>0.1941</v>
      </c>
      <c r="O669" s="345">
        <v>43069</v>
      </c>
      <c r="P669" s="345">
        <v>43069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520</v>
      </c>
      <c r="H670" s="341" t="s">
        <v>134</v>
      </c>
      <c r="I670" s="341"/>
      <c r="J670" s="341" t="s">
        <v>449</v>
      </c>
      <c r="K670" s="342" t="b">
        <f t="shared" si="24"/>
        <v>1</v>
      </c>
      <c r="L670" s="342">
        <v>1</v>
      </c>
      <c r="M670" s="343">
        <v>2018</v>
      </c>
      <c r="N670" s="344">
        <v>0.0618</v>
      </c>
      <c r="O670" s="345">
        <v>43069</v>
      </c>
      <c r="P670" s="345">
        <v>43069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520</v>
      </c>
      <c r="H671" s="341" t="s">
        <v>134</v>
      </c>
      <c r="I671" s="341"/>
      <c r="J671" s="341" t="s">
        <v>449</v>
      </c>
      <c r="K671" s="342" t="b">
        <f t="shared" si="24"/>
        <v>1</v>
      </c>
      <c r="L671" s="342">
        <v>3</v>
      </c>
      <c r="M671" s="343">
        <v>2020</v>
      </c>
      <c r="N671" s="344">
        <v>0.1078</v>
      </c>
      <c r="O671" s="345">
        <v>43069</v>
      </c>
      <c r="P671" s="345">
        <v>43069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2025</v>
      </c>
      <c r="N672" s="344">
        <v>0</v>
      </c>
      <c r="O672" s="345">
        <v>43069</v>
      </c>
      <c r="P672" s="345">
        <v>43069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6</v>
      </c>
      <c r="M673" s="343">
        <v>2023</v>
      </c>
      <c r="N673" s="344">
        <v>130000</v>
      </c>
      <c r="O673" s="345">
        <v>43069</v>
      </c>
      <c r="P673" s="345">
        <v>43069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3</v>
      </c>
      <c r="M674" s="343">
        <v>2020</v>
      </c>
      <c r="N674" s="344">
        <v>380000</v>
      </c>
      <c r="O674" s="345">
        <v>43069</v>
      </c>
      <c r="P674" s="345">
        <v>43069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1</v>
      </c>
      <c r="M675" s="343">
        <v>2018</v>
      </c>
      <c r="N675" s="344">
        <v>450000</v>
      </c>
      <c r="O675" s="345">
        <v>43069</v>
      </c>
      <c r="P675" s="345">
        <v>43069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2</v>
      </c>
      <c r="M676" s="343">
        <v>2019</v>
      </c>
      <c r="N676" s="344">
        <v>430000</v>
      </c>
      <c r="O676" s="345">
        <v>43069</v>
      </c>
      <c r="P676" s="345">
        <v>43069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2024</v>
      </c>
      <c r="N677" s="344">
        <v>40000</v>
      </c>
      <c r="O677" s="345">
        <v>43069</v>
      </c>
      <c r="P677" s="345">
        <v>43069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0</v>
      </c>
      <c r="M678" s="343">
        <v>2017</v>
      </c>
      <c r="N678" s="344">
        <v>463500</v>
      </c>
      <c r="O678" s="345">
        <v>43069</v>
      </c>
      <c r="P678" s="345">
        <v>43069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170</v>
      </c>
      <c r="H679" s="341" t="s">
        <v>53</v>
      </c>
      <c r="I679" s="341"/>
      <c r="J679" s="341" t="s">
        <v>54</v>
      </c>
      <c r="K679" s="342" t="b">
        <f t="shared" si="24"/>
        <v>1</v>
      </c>
      <c r="L679" s="342">
        <v>4</v>
      </c>
      <c r="M679" s="343">
        <v>2021</v>
      </c>
      <c r="N679" s="344">
        <v>300000</v>
      </c>
      <c r="O679" s="345">
        <v>43069</v>
      </c>
      <c r="P679" s="345">
        <v>43069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0</v>
      </c>
      <c r="M680" s="343">
        <v>2017</v>
      </c>
      <c r="N680" s="344">
        <v>767543.08</v>
      </c>
      <c r="O680" s="345">
        <v>43069</v>
      </c>
      <c r="P680" s="345">
        <v>43069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2022</v>
      </c>
      <c r="N681" s="344">
        <v>0</v>
      </c>
      <c r="O681" s="345">
        <v>43069</v>
      </c>
      <c r="P681" s="345">
        <v>43069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2020</v>
      </c>
      <c r="N682" s="344">
        <v>617916.14</v>
      </c>
      <c r="O682" s="345">
        <v>43069</v>
      </c>
      <c r="P682" s="345">
        <v>43069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2019</v>
      </c>
      <c r="N683" s="344">
        <v>1173704.15</v>
      </c>
      <c r="O683" s="345">
        <v>43069</v>
      </c>
      <c r="P683" s="345">
        <v>43069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1</v>
      </c>
      <c r="M684" s="343">
        <v>2018</v>
      </c>
      <c r="N684" s="344">
        <v>4037531.39</v>
      </c>
      <c r="O684" s="345">
        <v>43069</v>
      </c>
      <c r="P684" s="345">
        <v>43069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6</v>
      </c>
      <c r="M685" s="343">
        <v>2023</v>
      </c>
      <c r="N685" s="344">
        <v>0</v>
      </c>
      <c r="O685" s="345">
        <v>43069</v>
      </c>
      <c r="P685" s="345">
        <v>43069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4</v>
      </c>
      <c r="M686" s="343">
        <v>2021</v>
      </c>
      <c r="N686" s="344">
        <v>2977629.81</v>
      </c>
      <c r="O686" s="345">
        <v>43069</v>
      </c>
      <c r="P686" s="345">
        <v>43069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7</v>
      </c>
      <c r="M687" s="343">
        <v>2024</v>
      </c>
      <c r="N687" s="344">
        <v>0</v>
      </c>
      <c r="O687" s="345">
        <v>43069</v>
      </c>
      <c r="P687" s="345">
        <v>43069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43069</v>
      </c>
      <c r="P688" s="345">
        <v>43069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43069</v>
      </c>
      <c r="P689" s="345">
        <v>43069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7</v>
      </c>
      <c r="M690" s="343">
        <v>2024</v>
      </c>
      <c r="N690" s="344">
        <v>1250000</v>
      </c>
      <c r="O690" s="345">
        <v>43069</v>
      </c>
      <c r="P690" s="345">
        <v>43069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5</v>
      </c>
      <c r="M691" s="343">
        <v>2022</v>
      </c>
      <c r="N691" s="344">
        <v>2250004</v>
      </c>
      <c r="O691" s="345">
        <v>43069</v>
      </c>
      <c r="P691" s="345">
        <v>43069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6</v>
      </c>
      <c r="M692" s="343">
        <v>2023</v>
      </c>
      <c r="N692" s="344">
        <v>2418000</v>
      </c>
      <c r="O692" s="345">
        <v>43069</v>
      </c>
      <c r="P692" s="345">
        <v>43069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4</v>
      </c>
      <c r="M693" s="343">
        <v>2021</v>
      </c>
      <c r="N693" s="344">
        <v>2210004</v>
      </c>
      <c r="O693" s="345">
        <v>43069</v>
      </c>
      <c r="P693" s="345">
        <v>43069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43069</v>
      </c>
      <c r="P694" s="345">
        <v>43069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43069</v>
      </c>
      <c r="P695" s="345">
        <v>43069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3</v>
      </c>
      <c r="M696" s="343">
        <v>2020</v>
      </c>
      <c r="N696" s="344">
        <v>2210004</v>
      </c>
      <c r="O696" s="345">
        <v>43069</v>
      </c>
      <c r="P696" s="345">
        <v>43069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2017</v>
      </c>
      <c r="N697" s="344">
        <v>14873830.76</v>
      </c>
      <c r="O697" s="345">
        <v>43069</v>
      </c>
      <c r="P697" s="345">
        <v>43069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8</v>
      </c>
      <c r="M698" s="343">
        <v>2025</v>
      </c>
      <c r="N698" s="344">
        <v>0</v>
      </c>
      <c r="O698" s="345">
        <v>43069</v>
      </c>
      <c r="P698" s="345">
        <v>43069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5</v>
      </c>
      <c r="M699" s="343">
        <v>2022</v>
      </c>
      <c r="N699" s="344">
        <v>0</v>
      </c>
      <c r="O699" s="345">
        <v>43069</v>
      </c>
      <c r="P699" s="345">
        <v>43069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3</v>
      </c>
      <c r="M700" s="343">
        <v>2020</v>
      </c>
      <c r="N700" s="344">
        <v>15500000</v>
      </c>
      <c r="O700" s="345">
        <v>43069</v>
      </c>
      <c r="P700" s="345">
        <v>43069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6</v>
      </c>
      <c r="M701" s="343">
        <v>2023</v>
      </c>
      <c r="N701" s="344">
        <v>0</v>
      </c>
      <c r="O701" s="345">
        <v>43069</v>
      </c>
      <c r="P701" s="345">
        <v>43069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2019</v>
      </c>
      <c r="N702" s="344">
        <v>15000000</v>
      </c>
      <c r="O702" s="345">
        <v>43069</v>
      </c>
      <c r="P702" s="345">
        <v>43069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1</v>
      </c>
      <c r="M703" s="343">
        <v>2018</v>
      </c>
      <c r="N703" s="344">
        <v>14536481.15</v>
      </c>
      <c r="O703" s="345">
        <v>43069</v>
      </c>
      <c r="P703" s="345">
        <v>43069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7</v>
      </c>
      <c r="M704" s="343">
        <v>2024</v>
      </c>
      <c r="N704" s="344">
        <v>0</v>
      </c>
      <c r="O704" s="345">
        <v>43069</v>
      </c>
      <c r="P704" s="345">
        <v>43069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4</v>
      </c>
      <c r="M705" s="343">
        <v>2021</v>
      </c>
      <c r="N705" s="344">
        <v>0</v>
      </c>
      <c r="O705" s="345">
        <v>43069</v>
      </c>
      <c r="P705" s="345">
        <v>43069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5872632.01</v>
      </c>
      <c r="O706" s="345">
        <v>43069</v>
      </c>
      <c r="P706" s="345">
        <v>43069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1</v>
      </c>
      <c r="M707" s="343">
        <v>2018</v>
      </c>
      <c r="N707" s="344">
        <v>6778558.93</v>
      </c>
      <c r="O707" s="345">
        <v>43069</v>
      </c>
      <c r="P707" s="345">
        <v>43069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3</v>
      </c>
      <c r="M708" s="343">
        <v>2020</v>
      </c>
      <c r="N708" s="344">
        <v>1122446.05</v>
      </c>
      <c r="O708" s="345">
        <v>43069</v>
      </c>
      <c r="P708" s="345">
        <v>43069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43069</v>
      </c>
      <c r="P709" s="345">
        <v>43069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7</v>
      </c>
      <c r="M710" s="343">
        <v>2024</v>
      </c>
      <c r="N710" s="344">
        <v>0</v>
      </c>
      <c r="O710" s="345">
        <v>43069</v>
      </c>
      <c r="P710" s="345">
        <v>43069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2989473.46</v>
      </c>
      <c r="O711" s="345">
        <v>43069</v>
      </c>
      <c r="P711" s="345">
        <v>43069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0</v>
      </c>
      <c r="M712" s="343">
        <v>2017</v>
      </c>
      <c r="N712" s="344">
        <v>1540718.69</v>
      </c>
      <c r="O712" s="345">
        <v>43069</v>
      </c>
      <c r="P712" s="345">
        <v>43069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2023</v>
      </c>
      <c r="N713" s="344">
        <v>0</v>
      </c>
      <c r="O713" s="345">
        <v>43069</v>
      </c>
      <c r="P713" s="345">
        <v>43069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2022</v>
      </c>
      <c r="N714" s="344">
        <v>0</v>
      </c>
      <c r="O714" s="345">
        <v>43069</v>
      </c>
      <c r="P714" s="345">
        <v>43069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43069</v>
      </c>
      <c r="P715" s="345">
        <v>43069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2020</v>
      </c>
      <c r="N716" s="344">
        <v>0</v>
      </c>
      <c r="O716" s="345">
        <v>43069</v>
      </c>
      <c r="P716" s="345">
        <v>43069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0</v>
      </c>
      <c r="M717" s="343">
        <v>2017</v>
      </c>
      <c r="N717" s="344">
        <v>1949000</v>
      </c>
      <c r="O717" s="345">
        <v>43069</v>
      </c>
      <c r="P717" s="345">
        <v>43069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2</v>
      </c>
      <c r="M718" s="343">
        <v>2019</v>
      </c>
      <c r="N718" s="344">
        <v>0</v>
      </c>
      <c r="O718" s="345">
        <v>43069</v>
      </c>
      <c r="P718" s="345">
        <v>43069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4</v>
      </c>
      <c r="M719" s="343">
        <v>2021</v>
      </c>
      <c r="N719" s="344">
        <v>0</v>
      </c>
      <c r="O719" s="345">
        <v>43069</v>
      </c>
      <c r="P719" s="345">
        <v>43069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1</v>
      </c>
      <c r="M720" s="343">
        <v>2018</v>
      </c>
      <c r="N720" s="344">
        <v>0</v>
      </c>
      <c r="O720" s="345">
        <v>43069</v>
      </c>
      <c r="P720" s="345">
        <v>43069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2024</v>
      </c>
      <c r="N721" s="344">
        <v>0</v>
      </c>
      <c r="O721" s="345">
        <v>43069</v>
      </c>
      <c r="P721" s="345">
        <v>43069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8</v>
      </c>
      <c r="M722" s="343">
        <v>2025</v>
      </c>
      <c r="N722" s="344">
        <v>0</v>
      </c>
      <c r="O722" s="345">
        <v>43069</v>
      </c>
      <c r="P722" s="345">
        <v>43069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6</v>
      </c>
      <c r="M723" s="343">
        <v>2023</v>
      </c>
      <c r="N723" s="344">
        <v>0</v>
      </c>
      <c r="O723" s="345">
        <v>43069</v>
      </c>
      <c r="P723" s="345">
        <v>43069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2</v>
      </c>
      <c r="M724" s="343">
        <v>2019</v>
      </c>
      <c r="N724" s="344">
        <v>0</v>
      </c>
      <c r="O724" s="345">
        <v>43069</v>
      </c>
      <c r="P724" s="345">
        <v>43069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3</v>
      </c>
      <c r="M725" s="343">
        <v>2020</v>
      </c>
      <c r="N725" s="344">
        <v>0</v>
      </c>
      <c r="O725" s="345">
        <v>43069</v>
      </c>
      <c r="P725" s="345">
        <v>43069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1</v>
      </c>
      <c r="M726" s="343">
        <v>2018</v>
      </c>
      <c r="N726" s="344">
        <v>0</v>
      </c>
      <c r="O726" s="345">
        <v>43069</v>
      </c>
      <c r="P726" s="345">
        <v>43069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43069</v>
      </c>
      <c r="P727" s="345">
        <v>43069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6</v>
      </c>
      <c r="M728" s="343">
        <v>2023</v>
      </c>
      <c r="N728" s="344">
        <v>0</v>
      </c>
      <c r="O728" s="345">
        <v>43069</v>
      </c>
      <c r="P728" s="345">
        <v>43069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5</v>
      </c>
      <c r="M729" s="343">
        <v>2022</v>
      </c>
      <c r="N729" s="344">
        <v>0</v>
      </c>
      <c r="O729" s="345">
        <v>43069</v>
      </c>
      <c r="P729" s="345">
        <v>43069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8</v>
      </c>
      <c r="M730" s="343">
        <v>2025</v>
      </c>
      <c r="N730" s="344">
        <v>0</v>
      </c>
      <c r="O730" s="345">
        <v>43069</v>
      </c>
      <c r="P730" s="345">
        <v>43069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7</v>
      </c>
      <c r="M731" s="343">
        <v>2024</v>
      </c>
      <c r="N731" s="344">
        <v>0</v>
      </c>
      <c r="O731" s="345">
        <v>43069</v>
      </c>
      <c r="P731" s="345">
        <v>43069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4</v>
      </c>
      <c r="M732" s="343">
        <v>2021</v>
      </c>
      <c r="N732" s="344">
        <v>0</v>
      </c>
      <c r="O732" s="345">
        <v>43069</v>
      </c>
      <c r="P732" s="345">
        <v>43069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3</v>
      </c>
      <c r="M733" s="343">
        <v>2020</v>
      </c>
      <c r="N733" s="344">
        <v>0</v>
      </c>
      <c r="O733" s="345">
        <v>43069</v>
      </c>
      <c r="P733" s="345">
        <v>43069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43069</v>
      </c>
      <c r="P734" s="345">
        <v>43069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6</v>
      </c>
      <c r="M735" s="343">
        <v>2023</v>
      </c>
      <c r="N735" s="344">
        <v>0</v>
      </c>
      <c r="O735" s="345">
        <v>43069</v>
      </c>
      <c r="P735" s="345">
        <v>43069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1</v>
      </c>
      <c r="M736" s="343">
        <v>2018</v>
      </c>
      <c r="N736" s="344">
        <v>0</v>
      </c>
      <c r="O736" s="345">
        <v>43069</v>
      </c>
      <c r="P736" s="345">
        <v>43069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7</v>
      </c>
      <c r="M737" s="343">
        <v>2024</v>
      </c>
      <c r="N737" s="344">
        <v>0</v>
      </c>
      <c r="O737" s="345">
        <v>43069</v>
      </c>
      <c r="P737" s="345">
        <v>43069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5</v>
      </c>
      <c r="M738" s="343">
        <v>2022</v>
      </c>
      <c r="N738" s="344">
        <v>0</v>
      </c>
      <c r="O738" s="345">
        <v>43069</v>
      </c>
      <c r="P738" s="345">
        <v>43069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0</v>
      </c>
      <c r="M739" s="343">
        <v>2017</v>
      </c>
      <c r="N739" s="344">
        <v>0</v>
      </c>
      <c r="O739" s="345">
        <v>43069</v>
      </c>
      <c r="P739" s="345">
        <v>43069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2</v>
      </c>
      <c r="M740" s="343">
        <v>2019</v>
      </c>
      <c r="N740" s="344">
        <v>0</v>
      </c>
      <c r="O740" s="345">
        <v>43069</v>
      </c>
      <c r="P740" s="345">
        <v>43069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8</v>
      </c>
      <c r="M741" s="343">
        <v>2025</v>
      </c>
      <c r="N741" s="344">
        <v>0</v>
      </c>
      <c r="O741" s="345">
        <v>43069</v>
      </c>
      <c r="P741" s="345">
        <v>43069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7</v>
      </c>
      <c r="M742" s="343">
        <v>2024</v>
      </c>
      <c r="N742" s="344">
        <v>0</v>
      </c>
      <c r="O742" s="345">
        <v>43069</v>
      </c>
      <c r="P742" s="345">
        <v>43069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6</v>
      </c>
      <c r="M743" s="343">
        <v>2023</v>
      </c>
      <c r="N743" s="344">
        <v>0</v>
      </c>
      <c r="O743" s="345">
        <v>43069</v>
      </c>
      <c r="P743" s="345">
        <v>43069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4</v>
      </c>
      <c r="M744" s="343">
        <v>2021</v>
      </c>
      <c r="N744" s="344">
        <v>0</v>
      </c>
      <c r="O744" s="345">
        <v>43069</v>
      </c>
      <c r="P744" s="345">
        <v>43069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3</v>
      </c>
      <c r="M745" s="343">
        <v>2020</v>
      </c>
      <c r="N745" s="344">
        <v>0</v>
      </c>
      <c r="O745" s="345">
        <v>43069</v>
      </c>
      <c r="P745" s="345">
        <v>43069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1</v>
      </c>
      <c r="M746" s="343">
        <v>2018</v>
      </c>
      <c r="N746" s="344">
        <v>0</v>
      </c>
      <c r="O746" s="345">
        <v>43069</v>
      </c>
      <c r="P746" s="345">
        <v>43069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0</v>
      </c>
      <c r="M747" s="343">
        <v>2017</v>
      </c>
      <c r="N747" s="344">
        <v>0</v>
      </c>
      <c r="O747" s="345">
        <v>43069</v>
      </c>
      <c r="P747" s="345">
        <v>43069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2019</v>
      </c>
      <c r="N748" s="344">
        <v>0</v>
      </c>
      <c r="O748" s="345">
        <v>43069</v>
      </c>
      <c r="P748" s="345">
        <v>43069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5</v>
      </c>
      <c r="M749" s="343">
        <v>2022</v>
      </c>
      <c r="N749" s="344">
        <v>0</v>
      </c>
      <c r="O749" s="345">
        <v>43069</v>
      </c>
      <c r="P749" s="345">
        <v>43069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8</v>
      </c>
      <c r="M750" s="343">
        <v>2025</v>
      </c>
      <c r="N750" s="344">
        <v>0</v>
      </c>
      <c r="O750" s="345">
        <v>43069</v>
      </c>
      <c r="P750" s="345">
        <v>43069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6</v>
      </c>
      <c r="M751" s="343">
        <v>2023</v>
      </c>
      <c r="N751" s="344">
        <v>0</v>
      </c>
      <c r="O751" s="345">
        <v>43069</v>
      </c>
      <c r="P751" s="345">
        <v>43069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4</v>
      </c>
      <c r="M752" s="343">
        <v>2021</v>
      </c>
      <c r="N752" s="344">
        <v>0</v>
      </c>
      <c r="O752" s="345">
        <v>43069</v>
      </c>
      <c r="P752" s="345">
        <v>43069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3</v>
      </c>
      <c r="M753" s="343">
        <v>2020</v>
      </c>
      <c r="N753" s="344">
        <v>0</v>
      </c>
      <c r="O753" s="345">
        <v>43069</v>
      </c>
      <c r="P753" s="345">
        <v>43069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43069</v>
      </c>
      <c r="P754" s="345">
        <v>43069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2</v>
      </c>
      <c r="M755" s="343">
        <v>2019</v>
      </c>
      <c r="N755" s="344">
        <v>0</v>
      </c>
      <c r="O755" s="345">
        <v>43069</v>
      </c>
      <c r="P755" s="345">
        <v>43069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5</v>
      </c>
      <c r="M756" s="343">
        <v>2022</v>
      </c>
      <c r="N756" s="344">
        <v>0</v>
      </c>
      <c r="O756" s="345">
        <v>43069</v>
      </c>
      <c r="P756" s="345">
        <v>43069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2017</v>
      </c>
      <c r="N757" s="344">
        <v>0</v>
      </c>
      <c r="O757" s="345">
        <v>43069</v>
      </c>
      <c r="P757" s="345">
        <v>43069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1</v>
      </c>
      <c r="M758" s="343">
        <v>2018</v>
      </c>
      <c r="N758" s="344">
        <v>0</v>
      </c>
      <c r="O758" s="345">
        <v>43069</v>
      </c>
      <c r="P758" s="345">
        <v>43069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7</v>
      </c>
      <c r="M759" s="343">
        <v>2024</v>
      </c>
      <c r="N759" s="344">
        <v>0</v>
      </c>
      <c r="O759" s="345">
        <v>43069</v>
      </c>
      <c r="P759" s="345">
        <v>43069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8</v>
      </c>
      <c r="M760" s="343">
        <v>2025</v>
      </c>
      <c r="N760" s="344">
        <v>285316.79</v>
      </c>
      <c r="O760" s="345">
        <v>43069</v>
      </c>
      <c r="P760" s="345">
        <v>43069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2021</v>
      </c>
      <c r="N761" s="344">
        <v>2210004</v>
      </c>
      <c r="O761" s="345">
        <v>43069</v>
      </c>
      <c r="P761" s="345">
        <v>43069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7</v>
      </c>
      <c r="M762" s="343">
        <v>2024</v>
      </c>
      <c r="N762" s="344">
        <v>1250000</v>
      </c>
      <c r="O762" s="345">
        <v>43069</v>
      </c>
      <c r="P762" s="345">
        <v>43069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43069</v>
      </c>
      <c r="P763" s="345">
        <v>43069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2</v>
      </c>
      <c r="M764" s="343">
        <v>2019</v>
      </c>
      <c r="N764" s="344">
        <v>1860004</v>
      </c>
      <c r="O764" s="345">
        <v>43069</v>
      </c>
      <c r="P764" s="345">
        <v>43069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2022</v>
      </c>
      <c r="N765" s="344">
        <v>2250004</v>
      </c>
      <c r="O765" s="345">
        <v>43069</v>
      </c>
      <c r="P765" s="345">
        <v>43069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0</v>
      </c>
      <c r="M766" s="343">
        <v>2017</v>
      </c>
      <c r="N766" s="344">
        <v>0</v>
      </c>
      <c r="O766" s="345">
        <v>43069</v>
      </c>
      <c r="P766" s="345">
        <v>43069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43069</v>
      </c>
      <c r="P767" s="345">
        <v>43069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3</v>
      </c>
      <c r="M768" s="343">
        <v>2020</v>
      </c>
      <c r="N768" s="344">
        <v>2210004</v>
      </c>
      <c r="O768" s="345">
        <v>43069</v>
      </c>
      <c r="P768" s="345">
        <v>43069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43069</v>
      </c>
      <c r="P769" s="345">
        <v>43069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2</v>
      </c>
      <c r="M770" s="343">
        <v>2019</v>
      </c>
      <c r="N770" s="344">
        <v>1173704.15</v>
      </c>
      <c r="O770" s="345">
        <v>43069</v>
      </c>
      <c r="P770" s="345">
        <v>43069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5</v>
      </c>
      <c r="M771" s="343">
        <v>2022</v>
      </c>
      <c r="N771" s="344">
        <v>0</v>
      </c>
      <c r="O771" s="345">
        <v>43069</v>
      </c>
      <c r="P771" s="345">
        <v>43069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8987531.39</v>
      </c>
      <c r="O772" s="345">
        <v>43069</v>
      </c>
      <c r="P772" s="345">
        <v>43069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4</v>
      </c>
      <c r="M773" s="343">
        <v>2021</v>
      </c>
      <c r="N773" s="344">
        <v>2977629.81</v>
      </c>
      <c r="O773" s="345">
        <v>43069</v>
      </c>
      <c r="P773" s="345">
        <v>43069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0</v>
      </c>
      <c r="M774" s="343">
        <v>2017</v>
      </c>
      <c r="N774" s="344">
        <v>4138027.34</v>
      </c>
      <c r="O774" s="345">
        <v>43069</v>
      </c>
      <c r="P774" s="345">
        <v>43069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43069</v>
      </c>
      <c r="P775" s="345">
        <v>43069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2020</v>
      </c>
      <c r="N776" s="344">
        <v>617916.14</v>
      </c>
      <c r="O776" s="345">
        <v>43069</v>
      </c>
      <c r="P776" s="345">
        <v>43069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8</v>
      </c>
      <c r="M777" s="343">
        <v>2025</v>
      </c>
      <c r="N777" s="344">
        <v>0</v>
      </c>
      <c r="O777" s="345">
        <v>43069</v>
      </c>
      <c r="P777" s="345">
        <v>43069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79">FALSE</f>
        <v>0</v>
      </c>
      <c r="L778" s="342">
        <v>0</v>
      </c>
      <c r="M778" s="343">
        <v>2017</v>
      </c>
      <c r="N778" s="344">
        <v>0.0408</v>
      </c>
      <c r="O778" s="345">
        <v>43069</v>
      </c>
      <c r="P778" s="345">
        <v>43069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2023</v>
      </c>
      <c r="N779" s="344">
        <v>0.0504</v>
      </c>
      <c r="O779" s="345">
        <v>43069</v>
      </c>
      <c r="P779" s="345">
        <v>43069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820</v>
      </c>
      <c r="H780" s="341">
        <v>13.3</v>
      </c>
      <c r="I780" s="341"/>
      <c r="J780" s="341" t="s">
        <v>234</v>
      </c>
      <c r="K780" s="342" t="b">
        <f aca="true" t="shared" si="30" ref="K780:K781">TRUE</f>
        <v>1</v>
      </c>
      <c r="L780" s="342">
        <v>7</v>
      </c>
      <c r="M780" s="343">
        <v>2024</v>
      </c>
      <c r="N780" s="344">
        <v>0</v>
      </c>
      <c r="O780" s="345">
        <v>43069</v>
      </c>
      <c r="P780" s="345">
        <v>43069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820</v>
      </c>
      <c r="H781" s="341">
        <v>13.3</v>
      </c>
      <c r="I781" s="341"/>
      <c r="J781" s="341" t="s">
        <v>234</v>
      </c>
      <c r="K781" s="342" t="b">
        <f t="shared" si="30"/>
        <v>1</v>
      </c>
      <c r="L781" s="342">
        <v>3</v>
      </c>
      <c r="M781" s="343">
        <v>2020</v>
      </c>
      <c r="N781" s="344">
        <v>0</v>
      </c>
      <c r="O781" s="345">
        <v>43069</v>
      </c>
      <c r="P781" s="345">
        <v>43069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aca="true" t="shared" si="31" ref="K782:K788">FALSE</f>
        <v>0</v>
      </c>
      <c r="L782" s="342">
        <v>2</v>
      </c>
      <c r="M782" s="343">
        <v>2019</v>
      </c>
      <c r="N782" s="344">
        <v>0.0521</v>
      </c>
      <c r="O782" s="345">
        <v>43069</v>
      </c>
      <c r="P782" s="345">
        <v>43069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1"/>
        <v>0</v>
      </c>
      <c r="L783" s="342">
        <v>1</v>
      </c>
      <c r="M783" s="343">
        <v>2018</v>
      </c>
      <c r="N783" s="344">
        <v>0.0431</v>
      </c>
      <c r="O783" s="345">
        <v>43069</v>
      </c>
      <c r="P783" s="345">
        <v>43069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1"/>
        <v>0</v>
      </c>
      <c r="L784" s="342">
        <v>4</v>
      </c>
      <c r="M784" s="343">
        <v>2021</v>
      </c>
      <c r="N784" s="344">
        <v>0.0506</v>
      </c>
      <c r="O784" s="345">
        <v>43069</v>
      </c>
      <c r="P784" s="345">
        <v>43069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1"/>
        <v>0</v>
      </c>
      <c r="L785" s="342">
        <v>5</v>
      </c>
      <c r="M785" s="343">
        <v>2022</v>
      </c>
      <c r="N785" s="344">
        <v>0.0506</v>
      </c>
      <c r="O785" s="345">
        <v>43069</v>
      </c>
      <c r="P785" s="345">
        <v>43069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1"/>
        <v>0</v>
      </c>
      <c r="L786" s="342">
        <v>8</v>
      </c>
      <c r="M786" s="343">
        <v>2025</v>
      </c>
      <c r="N786" s="344">
        <v>0.0073</v>
      </c>
      <c r="O786" s="345">
        <v>43069</v>
      </c>
      <c r="P786" s="345">
        <v>43069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480</v>
      </c>
      <c r="H787" s="341">
        <v>9.2</v>
      </c>
      <c r="I787" s="341" t="s">
        <v>434</v>
      </c>
      <c r="J787" s="341" t="s">
        <v>446</v>
      </c>
      <c r="K787" s="342" t="b">
        <f t="shared" si="31"/>
        <v>0</v>
      </c>
      <c r="L787" s="342">
        <v>3</v>
      </c>
      <c r="M787" s="343">
        <v>2020</v>
      </c>
      <c r="N787" s="344">
        <v>0.0569</v>
      </c>
      <c r="O787" s="345">
        <v>43069</v>
      </c>
      <c r="P787" s="345">
        <v>43069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480</v>
      </c>
      <c r="H788" s="341">
        <v>9.2</v>
      </c>
      <c r="I788" s="341" t="s">
        <v>434</v>
      </c>
      <c r="J788" s="341" t="s">
        <v>446</v>
      </c>
      <c r="K788" s="342" t="b">
        <f t="shared" si="31"/>
        <v>0</v>
      </c>
      <c r="L788" s="342">
        <v>7</v>
      </c>
      <c r="M788" s="343">
        <v>2024</v>
      </c>
      <c r="N788" s="344">
        <v>0.0258</v>
      </c>
      <c r="O788" s="345">
        <v>43069</v>
      </c>
      <c r="P788" s="345">
        <v>43069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aca="true" t="shared" si="32" ref="K789:K804">TRUE</f>
        <v>1</v>
      </c>
      <c r="L789" s="342">
        <v>8</v>
      </c>
      <c r="M789" s="343">
        <v>2025</v>
      </c>
      <c r="N789" s="344">
        <v>0</v>
      </c>
      <c r="O789" s="345">
        <v>43069</v>
      </c>
      <c r="P789" s="345">
        <v>43069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2"/>
        <v>1</v>
      </c>
      <c r="L790" s="342">
        <v>6</v>
      </c>
      <c r="M790" s="343">
        <v>2023</v>
      </c>
      <c r="N790" s="344">
        <v>0</v>
      </c>
      <c r="O790" s="345">
        <v>43069</v>
      </c>
      <c r="P790" s="345">
        <v>43069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2"/>
        <v>1</v>
      </c>
      <c r="L791" s="342">
        <v>4</v>
      </c>
      <c r="M791" s="343">
        <v>2021</v>
      </c>
      <c r="N791" s="344">
        <v>0</v>
      </c>
      <c r="O791" s="345">
        <v>43069</v>
      </c>
      <c r="P791" s="345">
        <v>43069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2"/>
        <v>1</v>
      </c>
      <c r="L792" s="342">
        <v>0</v>
      </c>
      <c r="M792" s="343">
        <v>2017</v>
      </c>
      <c r="N792" s="344">
        <v>0</v>
      </c>
      <c r="O792" s="345">
        <v>43069</v>
      </c>
      <c r="P792" s="345">
        <v>43069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2"/>
        <v>1</v>
      </c>
      <c r="L793" s="342">
        <v>1</v>
      </c>
      <c r="M793" s="343">
        <v>2018</v>
      </c>
      <c r="N793" s="344">
        <v>0</v>
      </c>
      <c r="O793" s="345">
        <v>43069</v>
      </c>
      <c r="P793" s="345">
        <v>43069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2"/>
        <v>1</v>
      </c>
      <c r="L794" s="342">
        <v>2</v>
      </c>
      <c r="M794" s="343">
        <v>2019</v>
      </c>
      <c r="N794" s="344">
        <v>0</v>
      </c>
      <c r="O794" s="345">
        <v>43069</v>
      </c>
      <c r="P794" s="345">
        <v>43069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2"/>
        <v>1</v>
      </c>
      <c r="L795" s="342">
        <v>5</v>
      </c>
      <c r="M795" s="343">
        <v>2022</v>
      </c>
      <c r="N795" s="344">
        <v>0</v>
      </c>
      <c r="O795" s="345">
        <v>43069</v>
      </c>
      <c r="P795" s="345">
        <v>43069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2"/>
        <v>1</v>
      </c>
      <c r="L796" s="342">
        <v>5</v>
      </c>
      <c r="M796" s="343">
        <v>2022</v>
      </c>
      <c r="N796" s="344">
        <v>0</v>
      </c>
      <c r="O796" s="345">
        <v>43069</v>
      </c>
      <c r="P796" s="345">
        <v>43069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2"/>
        <v>1</v>
      </c>
      <c r="L797" s="342">
        <v>2</v>
      </c>
      <c r="M797" s="343">
        <v>2019</v>
      </c>
      <c r="N797" s="344">
        <v>11600000</v>
      </c>
      <c r="O797" s="345">
        <v>43069</v>
      </c>
      <c r="P797" s="345">
        <v>43069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2"/>
        <v>1</v>
      </c>
      <c r="L798" s="342">
        <v>0</v>
      </c>
      <c r="M798" s="343">
        <v>2017</v>
      </c>
      <c r="N798" s="344">
        <v>9600000</v>
      </c>
      <c r="O798" s="345">
        <v>43069</v>
      </c>
      <c r="P798" s="345">
        <v>43069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2"/>
        <v>1</v>
      </c>
      <c r="L799" s="342">
        <v>8</v>
      </c>
      <c r="M799" s="343">
        <v>2025</v>
      </c>
      <c r="N799" s="344">
        <v>0</v>
      </c>
      <c r="O799" s="345">
        <v>43069</v>
      </c>
      <c r="P799" s="345">
        <v>43069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2"/>
        <v>1</v>
      </c>
      <c r="L800" s="342">
        <v>3</v>
      </c>
      <c r="M800" s="343">
        <v>2020</v>
      </c>
      <c r="N800" s="344">
        <v>12600000</v>
      </c>
      <c r="O800" s="345">
        <v>43069</v>
      </c>
      <c r="P800" s="345">
        <v>43069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2"/>
        <v>1</v>
      </c>
      <c r="L801" s="342">
        <v>4</v>
      </c>
      <c r="M801" s="343">
        <v>2021</v>
      </c>
      <c r="N801" s="344">
        <v>0</v>
      </c>
      <c r="O801" s="345">
        <v>43069</v>
      </c>
      <c r="P801" s="345">
        <v>43069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2"/>
        <v>1</v>
      </c>
      <c r="L802" s="342">
        <v>7</v>
      </c>
      <c r="M802" s="343">
        <v>2024</v>
      </c>
      <c r="N802" s="344">
        <v>0</v>
      </c>
      <c r="O802" s="345">
        <v>43069</v>
      </c>
      <c r="P802" s="345">
        <v>43069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2"/>
        <v>1</v>
      </c>
      <c r="L803" s="342">
        <v>6</v>
      </c>
      <c r="M803" s="343">
        <v>2023</v>
      </c>
      <c r="N803" s="344">
        <v>0</v>
      </c>
      <c r="O803" s="345">
        <v>43069</v>
      </c>
      <c r="P803" s="345">
        <v>43069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2"/>
        <v>1</v>
      </c>
      <c r="L804" s="342">
        <v>1</v>
      </c>
      <c r="M804" s="343">
        <v>2018</v>
      </c>
      <c r="N804" s="344">
        <v>10600000</v>
      </c>
      <c r="O804" s="345">
        <v>43069</v>
      </c>
      <c r="P804" s="345">
        <v>43069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3" ref="K805:K813">FALSE</f>
        <v>0</v>
      </c>
      <c r="L805" s="342">
        <v>5</v>
      </c>
      <c r="M805" s="343">
        <v>2022</v>
      </c>
      <c r="N805" s="344">
        <v>2250004</v>
      </c>
      <c r="O805" s="345">
        <v>43069</v>
      </c>
      <c r="P805" s="345">
        <v>43069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3"/>
        <v>0</v>
      </c>
      <c r="L806" s="342">
        <v>7</v>
      </c>
      <c r="M806" s="343">
        <v>2024</v>
      </c>
      <c r="N806" s="344">
        <v>1250000</v>
      </c>
      <c r="O806" s="345">
        <v>43069</v>
      </c>
      <c r="P806" s="345">
        <v>43069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3"/>
        <v>0</v>
      </c>
      <c r="L807" s="342">
        <v>3</v>
      </c>
      <c r="M807" s="343">
        <v>2020</v>
      </c>
      <c r="N807" s="344">
        <v>2210004</v>
      </c>
      <c r="O807" s="345">
        <v>43069</v>
      </c>
      <c r="P807" s="345">
        <v>43069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3"/>
        <v>0</v>
      </c>
      <c r="L808" s="342">
        <v>0</v>
      </c>
      <c r="M808" s="343">
        <v>2017</v>
      </c>
      <c r="N808" s="344">
        <v>-1219470</v>
      </c>
      <c r="O808" s="345">
        <v>43069</v>
      </c>
      <c r="P808" s="345">
        <v>43069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3"/>
        <v>0</v>
      </c>
      <c r="L809" s="342">
        <v>1</v>
      </c>
      <c r="M809" s="343">
        <v>2018</v>
      </c>
      <c r="N809" s="344">
        <v>1678204</v>
      </c>
      <c r="O809" s="345">
        <v>43069</v>
      </c>
      <c r="P809" s="345">
        <v>43069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3"/>
        <v>0</v>
      </c>
      <c r="L810" s="342">
        <v>4</v>
      </c>
      <c r="M810" s="343">
        <v>2021</v>
      </c>
      <c r="N810" s="344">
        <v>2210004</v>
      </c>
      <c r="O810" s="345">
        <v>43069</v>
      </c>
      <c r="P810" s="345">
        <v>43069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3"/>
        <v>0</v>
      </c>
      <c r="L811" s="342">
        <v>8</v>
      </c>
      <c r="M811" s="343">
        <v>2025</v>
      </c>
      <c r="N811" s="344">
        <v>285316.79</v>
      </c>
      <c r="O811" s="345">
        <v>43069</v>
      </c>
      <c r="P811" s="345">
        <v>43069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3"/>
        <v>0</v>
      </c>
      <c r="L812" s="342">
        <v>6</v>
      </c>
      <c r="M812" s="343">
        <v>2023</v>
      </c>
      <c r="N812" s="344">
        <v>2418000</v>
      </c>
      <c r="O812" s="345">
        <v>43069</v>
      </c>
      <c r="P812" s="345">
        <v>43069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3"/>
        <v>0</v>
      </c>
      <c r="L813" s="342">
        <v>2</v>
      </c>
      <c r="M813" s="343">
        <v>2019</v>
      </c>
      <c r="N813" s="344">
        <v>1860004</v>
      </c>
      <c r="O813" s="345">
        <v>43069</v>
      </c>
      <c r="P813" s="345">
        <v>43069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4" ref="K814:K867">TRUE</f>
        <v>1</v>
      </c>
      <c r="L814" s="342">
        <v>8</v>
      </c>
      <c r="M814" s="343">
        <v>2025</v>
      </c>
      <c r="N814" s="344">
        <v>0</v>
      </c>
      <c r="O814" s="345">
        <v>43069</v>
      </c>
      <c r="P814" s="345">
        <v>43069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4"/>
        <v>1</v>
      </c>
      <c r="L815" s="342">
        <v>1</v>
      </c>
      <c r="M815" s="343">
        <v>2018</v>
      </c>
      <c r="N815" s="344">
        <v>0</v>
      </c>
      <c r="O815" s="345">
        <v>43069</v>
      </c>
      <c r="P815" s="345">
        <v>43069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4"/>
        <v>1</v>
      </c>
      <c r="L816" s="342">
        <v>0</v>
      </c>
      <c r="M816" s="343">
        <v>2017</v>
      </c>
      <c r="N816" s="344">
        <v>0</v>
      </c>
      <c r="O816" s="345">
        <v>43069</v>
      </c>
      <c r="P816" s="345">
        <v>43069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4"/>
        <v>1</v>
      </c>
      <c r="L817" s="342">
        <v>6</v>
      </c>
      <c r="M817" s="343">
        <v>2023</v>
      </c>
      <c r="N817" s="344">
        <v>0</v>
      </c>
      <c r="O817" s="345">
        <v>43069</v>
      </c>
      <c r="P817" s="345">
        <v>43069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4"/>
        <v>1</v>
      </c>
      <c r="L818" s="342">
        <v>5</v>
      </c>
      <c r="M818" s="343">
        <v>2022</v>
      </c>
      <c r="N818" s="344">
        <v>0</v>
      </c>
      <c r="O818" s="345">
        <v>43069</v>
      </c>
      <c r="P818" s="345">
        <v>43069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4"/>
        <v>1</v>
      </c>
      <c r="L819" s="342">
        <v>2</v>
      </c>
      <c r="M819" s="343">
        <v>2019</v>
      </c>
      <c r="N819" s="344">
        <v>0</v>
      </c>
      <c r="O819" s="345">
        <v>43069</v>
      </c>
      <c r="P819" s="345">
        <v>43069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4"/>
        <v>1</v>
      </c>
      <c r="L820" s="342">
        <v>3</v>
      </c>
      <c r="M820" s="343">
        <v>2020</v>
      </c>
      <c r="N820" s="344">
        <v>0</v>
      </c>
      <c r="O820" s="345">
        <v>43069</v>
      </c>
      <c r="P820" s="345">
        <v>43069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4"/>
        <v>1</v>
      </c>
      <c r="L821" s="342">
        <v>4</v>
      </c>
      <c r="M821" s="343">
        <v>2021</v>
      </c>
      <c r="N821" s="344">
        <v>0</v>
      </c>
      <c r="O821" s="345">
        <v>43069</v>
      </c>
      <c r="P821" s="345">
        <v>43069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4"/>
        <v>1</v>
      </c>
      <c r="L822" s="342">
        <v>7</v>
      </c>
      <c r="M822" s="343">
        <v>2024</v>
      </c>
      <c r="N822" s="344">
        <v>0</v>
      </c>
      <c r="O822" s="345">
        <v>43069</v>
      </c>
      <c r="P822" s="345">
        <v>43069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4"/>
        <v>1</v>
      </c>
      <c r="L823" s="342">
        <v>6</v>
      </c>
      <c r="M823" s="343">
        <v>2023</v>
      </c>
      <c r="N823" s="344">
        <v>0</v>
      </c>
      <c r="O823" s="345">
        <v>43069</v>
      </c>
      <c r="P823" s="345">
        <v>43069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4"/>
        <v>1</v>
      </c>
      <c r="L824" s="342">
        <v>7</v>
      </c>
      <c r="M824" s="343">
        <v>2024</v>
      </c>
      <c r="N824" s="344">
        <v>0</v>
      </c>
      <c r="O824" s="345">
        <v>43069</v>
      </c>
      <c r="P824" s="345">
        <v>43069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4"/>
        <v>1</v>
      </c>
      <c r="L825" s="342">
        <v>0</v>
      </c>
      <c r="M825" s="343">
        <v>2017</v>
      </c>
      <c r="N825" s="344">
        <v>4880000</v>
      </c>
      <c r="O825" s="345">
        <v>43069</v>
      </c>
      <c r="P825" s="345">
        <v>43069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4"/>
        <v>1</v>
      </c>
      <c r="L826" s="342">
        <v>1</v>
      </c>
      <c r="M826" s="343">
        <v>2018</v>
      </c>
      <c r="N826" s="344">
        <v>4900000</v>
      </c>
      <c r="O826" s="345">
        <v>43069</v>
      </c>
      <c r="P826" s="345">
        <v>43069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4"/>
        <v>1</v>
      </c>
      <c r="L827" s="342">
        <v>8</v>
      </c>
      <c r="M827" s="343">
        <v>2025</v>
      </c>
      <c r="N827" s="344">
        <v>0</v>
      </c>
      <c r="O827" s="345">
        <v>43069</v>
      </c>
      <c r="P827" s="345">
        <v>43069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4"/>
        <v>1</v>
      </c>
      <c r="L828" s="342">
        <v>5</v>
      </c>
      <c r="M828" s="343">
        <v>2022</v>
      </c>
      <c r="N828" s="344">
        <v>0</v>
      </c>
      <c r="O828" s="345">
        <v>43069</v>
      </c>
      <c r="P828" s="345">
        <v>43069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4"/>
        <v>1</v>
      </c>
      <c r="L829" s="342">
        <v>4</v>
      </c>
      <c r="M829" s="343">
        <v>2021</v>
      </c>
      <c r="N829" s="344">
        <v>0</v>
      </c>
      <c r="O829" s="345">
        <v>43069</v>
      </c>
      <c r="P829" s="345">
        <v>43069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4"/>
        <v>1</v>
      </c>
      <c r="L830" s="342">
        <v>2</v>
      </c>
      <c r="M830" s="343">
        <v>2019</v>
      </c>
      <c r="N830" s="344">
        <v>5100000</v>
      </c>
      <c r="O830" s="345">
        <v>43069</v>
      </c>
      <c r="P830" s="345">
        <v>43069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4"/>
        <v>1</v>
      </c>
      <c r="L831" s="342">
        <v>3</v>
      </c>
      <c r="M831" s="343">
        <v>2020</v>
      </c>
      <c r="N831" s="344">
        <v>5300000</v>
      </c>
      <c r="O831" s="345">
        <v>43069</v>
      </c>
      <c r="P831" s="345">
        <v>43069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4"/>
        <v>1</v>
      </c>
      <c r="L832" s="342">
        <v>4</v>
      </c>
      <c r="M832" s="343">
        <v>2021</v>
      </c>
      <c r="N832" s="344">
        <v>0</v>
      </c>
      <c r="O832" s="345">
        <v>43069</v>
      </c>
      <c r="P832" s="345">
        <v>43069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4"/>
        <v>1</v>
      </c>
      <c r="L833" s="342">
        <v>3</v>
      </c>
      <c r="M833" s="343">
        <v>2020</v>
      </c>
      <c r="N833" s="344">
        <v>0</v>
      </c>
      <c r="O833" s="345">
        <v>43069</v>
      </c>
      <c r="P833" s="345">
        <v>43069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4"/>
        <v>1</v>
      </c>
      <c r="L834" s="342">
        <v>7</v>
      </c>
      <c r="M834" s="343">
        <v>2024</v>
      </c>
      <c r="N834" s="344">
        <v>0</v>
      </c>
      <c r="O834" s="345">
        <v>43069</v>
      </c>
      <c r="P834" s="345">
        <v>43069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4"/>
        <v>1</v>
      </c>
      <c r="L835" s="342">
        <v>0</v>
      </c>
      <c r="M835" s="343">
        <v>2017</v>
      </c>
      <c r="N835" s="344">
        <v>0</v>
      </c>
      <c r="O835" s="345">
        <v>43069</v>
      </c>
      <c r="P835" s="345">
        <v>43069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4"/>
        <v>1</v>
      </c>
      <c r="L836" s="342">
        <v>2</v>
      </c>
      <c r="M836" s="343">
        <v>2019</v>
      </c>
      <c r="N836" s="344">
        <v>0</v>
      </c>
      <c r="O836" s="345">
        <v>43069</v>
      </c>
      <c r="P836" s="345">
        <v>43069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4"/>
        <v>1</v>
      </c>
      <c r="L837" s="342">
        <v>5</v>
      </c>
      <c r="M837" s="343">
        <v>2022</v>
      </c>
      <c r="N837" s="344">
        <v>0</v>
      </c>
      <c r="O837" s="345">
        <v>43069</v>
      </c>
      <c r="P837" s="345">
        <v>43069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4"/>
        <v>1</v>
      </c>
      <c r="L838" s="342">
        <v>1</v>
      </c>
      <c r="M838" s="343">
        <v>2018</v>
      </c>
      <c r="N838" s="344">
        <v>0</v>
      </c>
      <c r="O838" s="345">
        <v>43069</v>
      </c>
      <c r="P838" s="345">
        <v>43069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4"/>
        <v>1</v>
      </c>
      <c r="L839" s="342">
        <v>6</v>
      </c>
      <c r="M839" s="343">
        <v>2023</v>
      </c>
      <c r="N839" s="344">
        <v>0</v>
      </c>
      <c r="O839" s="345">
        <v>43069</v>
      </c>
      <c r="P839" s="345">
        <v>43069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4"/>
        <v>1</v>
      </c>
      <c r="L840" s="342">
        <v>8</v>
      </c>
      <c r="M840" s="343">
        <v>2025</v>
      </c>
      <c r="N840" s="344">
        <v>0</v>
      </c>
      <c r="O840" s="345">
        <v>43069</v>
      </c>
      <c r="P840" s="345">
        <v>43069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4"/>
        <v>1</v>
      </c>
      <c r="L841" s="342">
        <v>0</v>
      </c>
      <c r="M841" s="343">
        <v>2017</v>
      </c>
      <c r="N841" s="344">
        <v>0</v>
      </c>
      <c r="O841" s="345">
        <v>43069</v>
      </c>
      <c r="P841" s="345">
        <v>43069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4"/>
        <v>1</v>
      </c>
      <c r="L842" s="342">
        <v>4</v>
      </c>
      <c r="M842" s="343">
        <v>2021</v>
      </c>
      <c r="N842" s="344">
        <v>0</v>
      </c>
      <c r="O842" s="345">
        <v>43069</v>
      </c>
      <c r="P842" s="345">
        <v>43069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4"/>
        <v>1</v>
      </c>
      <c r="L843" s="342">
        <v>7</v>
      </c>
      <c r="M843" s="343">
        <v>2024</v>
      </c>
      <c r="N843" s="344">
        <v>0</v>
      </c>
      <c r="O843" s="345">
        <v>43069</v>
      </c>
      <c r="P843" s="345">
        <v>43069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4"/>
        <v>1</v>
      </c>
      <c r="L844" s="342">
        <v>6</v>
      </c>
      <c r="M844" s="343">
        <v>2023</v>
      </c>
      <c r="N844" s="344">
        <v>0</v>
      </c>
      <c r="O844" s="345">
        <v>43069</v>
      </c>
      <c r="P844" s="345">
        <v>43069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4"/>
        <v>1</v>
      </c>
      <c r="L845" s="342">
        <v>2</v>
      </c>
      <c r="M845" s="343">
        <v>2019</v>
      </c>
      <c r="N845" s="344">
        <v>0</v>
      </c>
      <c r="O845" s="345">
        <v>43069</v>
      </c>
      <c r="P845" s="345">
        <v>43069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4"/>
        <v>1</v>
      </c>
      <c r="L846" s="342">
        <v>1</v>
      </c>
      <c r="M846" s="343">
        <v>2018</v>
      </c>
      <c r="N846" s="344">
        <v>0</v>
      </c>
      <c r="O846" s="345">
        <v>43069</v>
      </c>
      <c r="P846" s="345">
        <v>43069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4"/>
        <v>1</v>
      </c>
      <c r="L847" s="342">
        <v>8</v>
      </c>
      <c r="M847" s="343">
        <v>2025</v>
      </c>
      <c r="N847" s="344">
        <v>0</v>
      </c>
      <c r="O847" s="345">
        <v>43069</v>
      </c>
      <c r="P847" s="345">
        <v>43069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4"/>
        <v>1</v>
      </c>
      <c r="L848" s="342">
        <v>5</v>
      </c>
      <c r="M848" s="343">
        <v>2022</v>
      </c>
      <c r="N848" s="344">
        <v>0</v>
      </c>
      <c r="O848" s="345">
        <v>43069</v>
      </c>
      <c r="P848" s="345">
        <v>43069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4"/>
        <v>1</v>
      </c>
      <c r="L849" s="342">
        <v>3</v>
      </c>
      <c r="M849" s="343">
        <v>2020</v>
      </c>
      <c r="N849" s="344">
        <v>0</v>
      </c>
      <c r="O849" s="345">
        <v>43069</v>
      </c>
      <c r="P849" s="345">
        <v>43069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4"/>
        <v>1</v>
      </c>
      <c r="L850" s="342">
        <v>6</v>
      </c>
      <c r="M850" s="343">
        <v>2023</v>
      </c>
      <c r="N850" s="344">
        <v>0</v>
      </c>
      <c r="O850" s="345">
        <v>43069</v>
      </c>
      <c r="P850" s="345">
        <v>43069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4"/>
        <v>1</v>
      </c>
      <c r="L851" s="342">
        <v>1</v>
      </c>
      <c r="M851" s="343">
        <v>2018</v>
      </c>
      <c r="N851" s="344">
        <v>0</v>
      </c>
      <c r="O851" s="345">
        <v>43069</v>
      </c>
      <c r="P851" s="345">
        <v>43069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4"/>
        <v>1</v>
      </c>
      <c r="L852" s="342">
        <v>5</v>
      </c>
      <c r="M852" s="343">
        <v>2022</v>
      </c>
      <c r="N852" s="344">
        <v>0</v>
      </c>
      <c r="O852" s="345">
        <v>43069</v>
      </c>
      <c r="P852" s="345">
        <v>43069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4"/>
        <v>1</v>
      </c>
      <c r="L853" s="342">
        <v>0</v>
      </c>
      <c r="M853" s="343">
        <v>2017</v>
      </c>
      <c r="N853" s="344">
        <v>0</v>
      </c>
      <c r="O853" s="345">
        <v>43069</v>
      </c>
      <c r="P853" s="345">
        <v>43069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4"/>
        <v>1</v>
      </c>
      <c r="L854" s="342">
        <v>8</v>
      </c>
      <c r="M854" s="343">
        <v>2025</v>
      </c>
      <c r="N854" s="344">
        <v>0</v>
      </c>
      <c r="O854" s="345">
        <v>43069</v>
      </c>
      <c r="P854" s="345">
        <v>43069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4"/>
        <v>1</v>
      </c>
      <c r="L855" s="342">
        <v>2</v>
      </c>
      <c r="M855" s="343">
        <v>2019</v>
      </c>
      <c r="N855" s="344">
        <v>0</v>
      </c>
      <c r="O855" s="345">
        <v>43069</v>
      </c>
      <c r="P855" s="345">
        <v>43069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4"/>
        <v>1</v>
      </c>
      <c r="L856" s="342">
        <v>3</v>
      </c>
      <c r="M856" s="343">
        <v>2020</v>
      </c>
      <c r="N856" s="344">
        <v>0</v>
      </c>
      <c r="O856" s="345">
        <v>43069</v>
      </c>
      <c r="P856" s="345">
        <v>43069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4"/>
        <v>1</v>
      </c>
      <c r="L857" s="342">
        <v>7</v>
      </c>
      <c r="M857" s="343">
        <v>2024</v>
      </c>
      <c r="N857" s="344">
        <v>0</v>
      </c>
      <c r="O857" s="345">
        <v>43069</v>
      </c>
      <c r="P857" s="345">
        <v>43069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4"/>
        <v>1</v>
      </c>
      <c r="L858" s="342">
        <v>4</v>
      </c>
      <c r="M858" s="343">
        <v>2021</v>
      </c>
      <c r="N858" s="344">
        <v>0</v>
      </c>
      <c r="O858" s="345">
        <v>43069</v>
      </c>
      <c r="P858" s="345">
        <v>43069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4"/>
        <v>1</v>
      </c>
      <c r="L859" s="342">
        <v>5</v>
      </c>
      <c r="M859" s="343">
        <v>2022</v>
      </c>
      <c r="N859" s="344">
        <v>0</v>
      </c>
      <c r="O859" s="345">
        <v>43069</v>
      </c>
      <c r="P859" s="345">
        <v>43069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4"/>
        <v>1</v>
      </c>
      <c r="L860" s="342">
        <v>6</v>
      </c>
      <c r="M860" s="343">
        <v>2023</v>
      </c>
      <c r="N860" s="344">
        <v>0</v>
      </c>
      <c r="O860" s="345">
        <v>43069</v>
      </c>
      <c r="P860" s="345">
        <v>43069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4"/>
        <v>1</v>
      </c>
      <c r="L861" s="342">
        <v>0</v>
      </c>
      <c r="M861" s="343">
        <v>2017</v>
      </c>
      <c r="N861" s="344">
        <v>95388.21</v>
      </c>
      <c r="O861" s="345">
        <v>43069</v>
      </c>
      <c r="P861" s="345">
        <v>43069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4"/>
        <v>1</v>
      </c>
      <c r="L862" s="342">
        <v>8</v>
      </c>
      <c r="M862" s="343">
        <v>2025</v>
      </c>
      <c r="N862" s="344">
        <v>0</v>
      </c>
      <c r="O862" s="345">
        <v>43069</v>
      </c>
      <c r="P862" s="345">
        <v>43069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4"/>
        <v>1</v>
      </c>
      <c r="L863" s="342">
        <v>2</v>
      </c>
      <c r="M863" s="343">
        <v>2019</v>
      </c>
      <c r="N863" s="344">
        <v>12240</v>
      </c>
      <c r="O863" s="345">
        <v>43069</v>
      </c>
      <c r="P863" s="345">
        <v>43069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4"/>
        <v>1</v>
      </c>
      <c r="L864" s="342">
        <v>4</v>
      </c>
      <c r="M864" s="343">
        <v>2021</v>
      </c>
      <c r="N864" s="344">
        <v>17680</v>
      </c>
      <c r="O864" s="345">
        <v>43069</v>
      </c>
      <c r="P864" s="345">
        <v>43069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4"/>
        <v>1</v>
      </c>
      <c r="L865" s="342">
        <v>3</v>
      </c>
      <c r="M865" s="343">
        <v>2020</v>
      </c>
      <c r="N865" s="344">
        <v>12240</v>
      </c>
      <c r="O865" s="345">
        <v>43069</v>
      </c>
      <c r="P865" s="345">
        <v>43069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4"/>
        <v>1</v>
      </c>
      <c r="L866" s="342">
        <v>7</v>
      </c>
      <c r="M866" s="343">
        <v>2024</v>
      </c>
      <c r="N866" s="344">
        <v>0</v>
      </c>
      <c r="O866" s="345">
        <v>43069</v>
      </c>
      <c r="P866" s="345">
        <v>43069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4"/>
        <v>1</v>
      </c>
      <c r="L867" s="342">
        <v>1</v>
      </c>
      <c r="M867" s="343">
        <v>2018</v>
      </c>
      <c r="N867" s="344">
        <v>88679.42</v>
      </c>
      <c r="O867" s="345">
        <v>43069</v>
      </c>
      <c r="P867" s="345">
        <v>43069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5" ref="K868:K878">FALSE</f>
        <v>0</v>
      </c>
      <c r="L868" s="342">
        <v>7</v>
      </c>
      <c r="M868" s="343">
        <v>2024</v>
      </c>
      <c r="N868" s="344">
        <v>0</v>
      </c>
      <c r="O868" s="345">
        <v>43069</v>
      </c>
      <c r="P868" s="345">
        <v>43069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5"/>
        <v>0</v>
      </c>
      <c r="L869" s="342">
        <v>8</v>
      </c>
      <c r="M869" s="343">
        <v>2025</v>
      </c>
      <c r="N869" s="344">
        <v>0</v>
      </c>
      <c r="O869" s="345">
        <v>43069</v>
      </c>
      <c r="P869" s="345">
        <v>43069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5"/>
        <v>0</v>
      </c>
      <c r="L870" s="342">
        <v>0</v>
      </c>
      <c r="M870" s="343">
        <v>2017</v>
      </c>
      <c r="N870" s="344">
        <v>0</v>
      </c>
      <c r="O870" s="345">
        <v>43069</v>
      </c>
      <c r="P870" s="345">
        <v>43069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220</v>
      </c>
      <c r="H871" s="341">
        <v>4.1</v>
      </c>
      <c r="I871" s="341"/>
      <c r="J871" s="341" t="s">
        <v>71</v>
      </c>
      <c r="K871" s="342" t="b">
        <f t="shared" si="35"/>
        <v>0</v>
      </c>
      <c r="L871" s="342">
        <v>4</v>
      </c>
      <c r="M871" s="343">
        <v>2021</v>
      </c>
      <c r="N871" s="344">
        <v>0</v>
      </c>
      <c r="O871" s="345">
        <v>43069</v>
      </c>
      <c r="P871" s="345">
        <v>43069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220</v>
      </c>
      <c r="H872" s="341">
        <v>4.1</v>
      </c>
      <c r="I872" s="341"/>
      <c r="J872" s="341" t="s">
        <v>71</v>
      </c>
      <c r="K872" s="342" t="b">
        <f t="shared" si="35"/>
        <v>0</v>
      </c>
      <c r="L872" s="342">
        <v>2</v>
      </c>
      <c r="M872" s="343">
        <v>2019</v>
      </c>
      <c r="N872" s="344">
        <v>0</v>
      </c>
      <c r="O872" s="345">
        <v>43069</v>
      </c>
      <c r="P872" s="345">
        <v>43069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5"/>
        <v>0</v>
      </c>
      <c r="L873" s="342">
        <v>4</v>
      </c>
      <c r="M873" s="343">
        <v>2021</v>
      </c>
      <c r="N873" s="344">
        <v>0</v>
      </c>
      <c r="O873" s="345">
        <v>43069</v>
      </c>
      <c r="P873" s="345">
        <v>43069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5"/>
        <v>0</v>
      </c>
      <c r="L874" s="342">
        <v>2</v>
      </c>
      <c r="M874" s="343">
        <v>2019</v>
      </c>
      <c r="N874" s="344">
        <v>0</v>
      </c>
      <c r="O874" s="345">
        <v>43069</v>
      </c>
      <c r="P874" s="345">
        <v>43069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5"/>
        <v>0</v>
      </c>
      <c r="L875" s="342">
        <v>6</v>
      </c>
      <c r="M875" s="343">
        <v>2023</v>
      </c>
      <c r="N875" s="344">
        <v>0</v>
      </c>
      <c r="O875" s="345">
        <v>43069</v>
      </c>
      <c r="P875" s="345">
        <v>43069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5"/>
        <v>0</v>
      </c>
      <c r="L876" s="342">
        <v>1</v>
      </c>
      <c r="M876" s="343">
        <v>2018</v>
      </c>
      <c r="N876" s="344">
        <v>0</v>
      </c>
      <c r="O876" s="345">
        <v>43069</v>
      </c>
      <c r="P876" s="345">
        <v>43069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 t="shared" si="35"/>
        <v>0</v>
      </c>
      <c r="L877" s="342">
        <v>5</v>
      </c>
      <c r="M877" s="343">
        <v>2022</v>
      </c>
      <c r="N877" s="344">
        <v>0</v>
      </c>
      <c r="O877" s="345">
        <v>43069</v>
      </c>
      <c r="P877" s="345">
        <v>43069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182</v>
      </c>
      <c r="H878" s="341" t="s">
        <v>59</v>
      </c>
      <c r="I878" s="341"/>
      <c r="J878" s="341" t="s">
        <v>60</v>
      </c>
      <c r="K878" s="342" t="b">
        <f t="shared" si="35"/>
        <v>0</v>
      </c>
      <c r="L878" s="342">
        <v>3</v>
      </c>
      <c r="M878" s="343">
        <v>2020</v>
      </c>
      <c r="N878" s="344">
        <v>0</v>
      </c>
      <c r="O878" s="345">
        <v>43069</v>
      </c>
      <c r="P878" s="345">
        <v>43069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aca="true" t="shared" si="36" ref="K879:K896">TRUE</f>
        <v>1</v>
      </c>
      <c r="L879" s="342">
        <v>6</v>
      </c>
      <c r="M879" s="343">
        <v>2023</v>
      </c>
      <c r="N879" s="344">
        <v>0</v>
      </c>
      <c r="O879" s="345">
        <v>43069</v>
      </c>
      <c r="P879" s="345">
        <v>43069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6"/>
        <v>1</v>
      </c>
      <c r="L880" s="342">
        <v>4</v>
      </c>
      <c r="M880" s="343">
        <v>2021</v>
      </c>
      <c r="N880" s="344">
        <v>2907462.2</v>
      </c>
      <c r="O880" s="345">
        <v>43069</v>
      </c>
      <c r="P880" s="345">
        <v>43069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6"/>
        <v>1</v>
      </c>
      <c r="L881" s="342">
        <v>2</v>
      </c>
      <c r="M881" s="343">
        <v>2019</v>
      </c>
      <c r="N881" s="344">
        <v>1823829.31</v>
      </c>
      <c r="O881" s="345">
        <v>43069</v>
      </c>
      <c r="P881" s="345">
        <v>43069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6"/>
        <v>1</v>
      </c>
      <c r="L882" s="342">
        <v>1</v>
      </c>
      <c r="M882" s="343">
        <v>2018</v>
      </c>
      <c r="N882" s="344">
        <v>2783221.68</v>
      </c>
      <c r="O882" s="345">
        <v>43069</v>
      </c>
      <c r="P882" s="345">
        <v>43069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6"/>
        <v>1</v>
      </c>
      <c r="L883" s="342">
        <v>8</v>
      </c>
      <c r="M883" s="343">
        <v>2025</v>
      </c>
      <c r="N883" s="344">
        <v>0</v>
      </c>
      <c r="O883" s="345">
        <v>43069</v>
      </c>
      <c r="P883" s="345">
        <v>43069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6"/>
        <v>1</v>
      </c>
      <c r="L884" s="342">
        <v>5</v>
      </c>
      <c r="M884" s="343">
        <v>2022</v>
      </c>
      <c r="N884" s="344">
        <v>0</v>
      </c>
      <c r="O884" s="345">
        <v>43069</v>
      </c>
      <c r="P884" s="345">
        <v>43069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6"/>
        <v>1</v>
      </c>
      <c r="L885" s="342">
        <v>3</v>
      </c>
      <c r="M885" s="343">
        <v>2020</v>
      </c>
      <c r="N885" s="344">
        <v>512589.91</v>
      </c>
      <c r="O885" s="345">
        <v>43069</v>
      </c>
      <c r="P885" s="345">
        <v>43069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6"/>
        <v>1</v>
      </c>
      <c r="L886" s="342">
        <v>0</v>
      </c>
      <c r="M886" s="343">
        <v>2017</v>
      </c>
      <c r="N886" s="344">
        <v>796741</v>
      </c>
      <c r="O886" s="345">
        <v>43069</v>
      </c>
      <c r="P886" s="345">
        <v>43069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763</v>
      </c>
      <c r="H887" s="341">
        <v>12.5</v>
      </c>
      <c r="I887" s="341"/>
      <c r="J887" s="341" t="s">
        <v>209</v>
      </c>
      <c r="K887" s="342" t="b">
        <f t="shared" si="36"/>
        <v>1</v>
      </c>
      <c r="L887" s="342">
        <v>7</v>
      </c>
      <c r="M887" s="343">
        <v>2024</v>
      </c>
      <c r="N887" s="344">
        <v>0</v>
      </c>
      <c r="O887" s="345">
        <v>43069</v>
      </c>
      <c r="P887" s="345">
        <v>43069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6"/>
        <v>1</v>
      </c>
      <c r="L888" s="342">
        <v>7</v>
      </c>
      <c r="M888" s="343">
        <v>2024</v>
      </c>
      <c r="N888" s="344">
        <v>0</v>
      </c>
      <c r="O888" s="345">
        <v>43069</v>
      </c>
      <c r="P888" s="345">
        <v>43069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6"/>
        <v>1</v>
      </c>
      <c r="L889" s="342">
        <v>8</v>
      </c>
      <c r="M889" s="343">
        <v>2025</v>
      </c>
      <c r="N889" s="344">
        <v>0</v>
      </c>
      <c r="O889" s="345">
        <v>43069</v>
      </c>
      <c r="P889" s="345">
        <v>43069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6"/>
        <v>1</v>
      </c>
      <c r="L890" s="342">
        <v>3</v>
      </c>
      <c r="M890" s="343">
        <v>2020</v>
      </c>
      <c r="N890" s="344">
        <v>0</v>
      </c>
      <c r="O890" s="345">
        <v>43069</v>
      </c>
      <c r="P890" s="345">
        <v>43069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6"/>
        <v>1</v>
      </c>
      <c r="L891" s="342">
        <v>4</v>
      </c>
      <c r="M891" s="343">
        <v>2021</v>
      </c>
      <c r="N891" s="344">
        <v>0</v>
      </c>
      <c r="O891" s="345">
        <v>43069</v>
      </c>
      <c r="P891" s="345">
        <v>43069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6"/>
        <v>1</v>
      </c>
      <c r="L892" s="342">
        <v>5</v>
      </c>
      <c r="M892" s="343">
        <v>2022</v>
      </c>
      <c r="N892" s="344">
        <v>0</v>
      </c>
      <c r="O892" s="345">
        <v>43069</v>
      </c>
      <c r="P892" s="345">
        <v>43069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6"/>
        <v>1</v>
      </c>
      <c r="L893" s="342">
        <v>6</v>
      </c>
      <c r="M893" s="343">
        <v>2023</v>
      </c>
      <c r="N893" s="344">
        <v>0</v>
      </c>
      <c r="O893" s="345">
        <v>43069</v>
      </c>
      <c r="P893" s="345">
        <v>43069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6"/>
        <v>1</v>
      </c>
      <c r="L894" s="342">
        <v>0</v>
      </c>
      <c r="M894" s="343">
        <v>2017</v>
      </c>
      <c r="N894" s="344">
        <v>0</v>
      </c>
      <c r="O894" s="345">
        <v>43069</v>
      </c>
      <c r="P894" s="345">
        <v>43069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6"/>
        <v>1</v>
      </c>
      <c r="L895" s="342">
        <v>2</v>
      </c>
      <c r="M895" s="343">
        <v>2019</v>
      </c>
      <c r="N895" s="344">
        <v>0</v>
      </c>
      <c r="O895" s="345">
        <v>43069</v>
      </c>
      <c r="P895" s="345">
        <v>43069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410</v>
      </c>
      <c r="H896" s="341">
        <v>8</v>
      </c>
      <c r="I896" s="341"/>
      <c r="J896" s="341" t="s">
        <v>108</v>
      </c>
      <c r="K896" s="342" t="b">
        <f t="shared" si="36"/>
        <v>1</v>
      </c>
      <c r="L896" s="342">
        <v>1</v>
      </c>
      <c r="M896" s="343">
        <v>2018</v>
      </c>
      <c r="N896" s="344">
        <v>0</v>
      </c>
      <c r="O896" s="345">
        <v>43069</v>
      </c>
      <c r="P896" s="345">
        <v>43069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aca="true" t="shared" si="37" ref="K897:K916">FALSE</f>
        <v>0</v>
      </c>
      <c r="L897" s="342">
        <v>6</v>
      </c>
      <c r="M897" s="343">
        <v>2023</v>
      </c>
      <c r="N897" s="344">
        <v>1205</v>
      </c>
      <c r="O897" s="345">
        <v>43069</v>
      </c>
      <c r="P897" s="345">
        <v>43069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7"/>
        <v>0</v>
      </c>
      <c r="L898" s="342">
        <v>7</v>
      </c>
      <c r="M898" s="343">
        <v>2024</v>
      </c>
      <c r="N898" s="344">
        <v>1683</v>
      </c>
      <c r="O898" s="345">
        <v>43069</v>
      </c>
      <c r="P898" s="345">
        <v>43069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7"/>
        <v>0</v>
      </c>
      <c r="L899" s="342">
        <v>2</v>
      </c>
      <c r="M899" s="343">
        <v>2019</v>
      </c>
      <c r="N899" s="344">
        <v>410</v>
      </c>
      <c r="O899" s="345">
        <v>43069</v>
      </c>
      <c r="P899" s="345">
        <v>43069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7"/>
        <v>0</v>
      </c>
      <c r="L900" s="342">
        <v>3</v>
      </c>
      <c r="M900" s="343">
        <v>2020</v>
      </c>
      <c r="N900" s="344">
        <v>509</v>
      </c>
      <c r="O900" s="345">
        <v>43069</v>
      </c>
      <c r="P900" s="345">
        <v>43069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220</v>
      </c>
      <c r="H901" s="341">
        <v>4.1</v>
      </c>
      <c r="I901" s="341"/>
      <c r="J901" s="341" t="s">
        <v>71</v>
      </c>
      <c r="K901" s="342" t="b">
        <f t="shared" si="37"/>
        <v>0</v>
      </c>
      <c r="L901" s="342">
        <v>7</v>
      </c>
      <c r="M901" s="343">
        <v>2024</v>
      </c>
      <c r="N901" s="344">
        <v>0</v>
      </c>
      <c r="O901" s="345">
        <v>43069</v>
      </c>
      <c r="P901" s="345">
        <v>43069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220</v>
      </c>
      <c r="H902" s="341">
        <v>4.1</v>
      </c>
      <c r="I902" s="341"/>
      <c r="J902" s="341" t="s">
        <v>71</v>
      </c>
      <c r="K902" s="342" t="b">
        <f t="shared" si="37"/>
        <v>0</v>
      </c>
      <c r="L902" s="342">
        <v>0</v>
      </c>
      <c r="M902" s="343">
        <v>2017</v>
      </c>
      <c r="N902" s="344">
        <v>0</v>
      </c>
      <c r="O902" s="345">
        <v>43069</v>
      </c>
      <c r="P902" s="345">
        <v>43069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7"/>
        <v>0</v>
      </c>
      <c r="L903" s="342">
        <v>8</v>
      </c>
      <c r="M903" s="343">
        <v>2025</v>
      </c>
      <c r="N903" s="344">
        <v>2111</v>
      </c>
      <c r="O903" s="345">
        <v>43069</v>
      </c>
      <c r="P903" s="345">
        <v>43069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7"/>
        <v>0</v>
      </c>
      <c r="L904" s="342">
        <v>4</v>
      </c>
      <c r="M904" s="343">
        <v>2021</v>
      </c>
      <c r="N904" s="344">
        <v>948</v>
      </c>
      <c r="O904" s="345">
        <v>43069</v>
      </c>
      <c r="P904" s="345">
        <v>43069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540</v>
      </c>
      <c r="H905" s="341" t="s">
        <v>140</v>
      </c>
      <c r="I905" s="341" t="s">
        <v>484</v>
      </c>
      <c r="J905" s="341" t="s">
        <v>141</v>
      </c>
      <c r="K905" s="342" t="b">
        <f t="shared" si="37"/>
        <v>0</v>
      </c>
      <c r="L905" s="342">
        <v>0</v>
      </c>
      <c r="M905" s="343">
        <v>2017</v>
      </c>
      <c r="N905" s="344">
        <v>353</v>
      </c>
      <c r="O905" s="345">
        <v>43069</v>
      </c>
      <c r="P905" s="345">
        <v>43069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540</v>
      </c>
      <c r="H906" s="341" t="s">
        <v>140</v>
      </c>
      <c r="I906" s="341" t="s">
        <v>484</v>
      </c>
      <c r="J906" s="341" t="s">
        <v>141</v>
      </c>
      <c r="K906" s="342" t="b">
        <f t="shared" si="37"/>
        <v>0</v>
      </c>
      <c r="L906" s="342">
        <v>5</v>
      </c>
      <c r="M906" s="343">
        <v>2022</v>
      </c>
      <c r="N906" s="344">
        <v>947</v>
      </c>
      <c r="O906" s="345">
        <v>43069</v>
      </c>
      <c r="P906" s="345">
        <v>43069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540</v>
      </c>
      <c r="H907" s="341" t="s">
        <v>140</v>
      </c>
      <c r="I907" s="341" t="s">
        <v>484</v>
      </c>
      <c r="J907" s="341" t="s">
        <v>141</v>
      </c>
      <c r="K907" s="342" t="b">
        <f t="shared" si="37"/>
        <v>0</v>
      </c>
      <c r="L907" s="342">
        <v>1</v>
      </c>
      <c r="M907" s="343">
        <v>2018</v>
      </c>
      <c r="N907" s="344">
        <v>187</v>
      </c>
      <c r="O907" s="345">
        <v>43069</v>
      </c>
      <c r="P907" s="345">
        <v>43069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7"/>
        <v>0</v>
      </c>
      <c r="L908" s="342">
        <v>0</v>
      </c>
      <c r="M908" s="343">
        <v>2017</v>
      </c>
      <c r="N908" s="344">
        <v>0</v>
      </c>
      <c r="O908" s="345">
        <v>43069</v>
      </c>
      <c r="P908" s="345">
        <v>43069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7"/>
        <v>0</v>
      </c>
      <c r="L909" s="342">
        <v>7</v>
      </c>
      <c r="M909" s="343">
        <v>2024</v>
      </c>
      <c r="N909" s="344">
        <v>0</v>
      </c>
      <c r="O909" s="345">
        <v>43069</v>
      </c>
      <c r="P909" s="345">
        <v>43069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7"/>
        <v>0</v>
      </c>
      <c r="L910" s="342">
        <v>8</v>
      </c>
      <c r="M910" s="343">
        <v>2025</v>
      </c>
      <c r="N910" s="344">
        <v>0</v>
      </c>
      <c r="O910" s="345">
        <v>43069</v>
      </c>
      <c r="P910" s="345">
        <v>43069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7"/>
        <v>0</v>
      </c>
      <c r="L911" s="342">
        <v>1</v>
      </c>
      <c r="M911" s="343">
        <v>2018</v>
      </c>
      <c r="N911" s="344">
        <v>0</v>
      </c>
      <c r="O911" s="345">
        <v>43069</v>
      </c>
      <c r="P911" s="345">
        <v>43069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7"/>
        <v>0</v>
      </c>
      <c r="L912" s="342">
        <v>6</v>
      </c>
      <c r="M912" s="343">
        <v>2023</v>
      </c>
      <c r="N912" s="344">
        <v>0</v>
      </c>
      <c r="O912" s="345">
        <v>43069</v>
      </c>
      <c r="P912" s="345">
        <v>43069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7"/>
        <v>0</v>
      </c>
      <c r="L913" s="342">
        <v>5</v>
      </c>
      <c r="M913" s="343">
        <v>2022</v>
      </c>
      <c r="N913" s="344">
        <v>0</v>
      </c>
      <c r="O913" s="345">
        <v>43069</v>
      </c>
      <c r="P913" s="345">
        <v>43069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184</v>
      </c>
      <c r="H914" s="341" t="s">
        <v>62</v>
      </c>
      <c r="I914" s="341"/>
      <c r="J914" s="341" t="s">
        <v>63</v>
      </c>
      <c r="K914" s="342" t="b">
        <f t="shared" si="37"/>
        <v>0</v>
      </c>
      <c r="L914" s="342">
        <v>3</v>
      </c>
      <c r="M914" s="343">
        <v>2020</v>
      </c>
      <c r="N914" s="344">
        <v>0</v>
      </c>
      <c r="O914" s="345">
        <v>43069</v>
      </c>
      <c r="P914" s="345">
        <v>43069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184</v>
      </c>
      <c r="H915" s="341" t="s">
        <v>62</v>
      </c>
      <c r="I915" s="341"/>
      <c r="J915" s="341" t="s">
        <v>63</v>
      </c>
      <c r="K915" s="342" t="b">
        <f t="shared" si="37"/>
        <v>0</v>
      </c>
      <c r="L915" s="342">
        <v>4</v>
      </c>
      <c r="M915" s="343">
        <v>2021</v>
      </c>
      <c r="N915" s="344">
        <v>0</v>
      </c>
      <c r="O915" s="345">
        <v>43069</v>
      </c>
      <c r="P915" s="345">
        <v>43069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184</v>
      </c>
      <c r="H916" s="341" t="s">
        <v>62</v>
      </c>
      <c r="I916" s="341"/>
      <c r="J916" s="341" t="s">
        <v>63</v>
      </c>
      <c r="K916" s="342" t="b">
        <f t="shared" si="37"/>
        <v>0</v>
      </c>
      <c r="L916" s="342">
        <v>2</v>
      </c>
      <c r="M916" s="343">
        <v>2019</v>
      </c>
      <c r="N916" s="344">
        <v>0</v>
      </c>
      <c r="O916" s="345">
        <v>43069</v>
      </c>
      <c r="P916" s="345">
        <v>43069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aca="true" t="shared" si="38" ref="K917:K925">TRUE</f>
        <v>1</v>
      </c>
      <c r="L917" s="342">
        <v>6</v>
      </c>
      <c r="M917" s="343">
        <v>2023</v>
      </c>
      <c r="N917" s="344">
        <v>0</v>
      </c>
      <c r="O917" s="345">
        <v>43069</v>
      </c>
      <c r="P917" s="345">
        <v>43069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8"/>
        <v>1</v>
      </c>
      <c r="L918" s="342">
        <v>2</v>
      </c>
      <c r="M918" s="343">
        <v>2019</v>
      </c>
      <c r="N918" s="344">
        <v>3962000</v>
      </c>
      <c r="O918" s="345">
        <v>43069</v>
      </c>
      <c r="P918" s="345">
        <v>43069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8"/>
        <v>1</v>
      </c>
      <c r="L919" s="342">
        <v>0</v>
      </c>
      <c r="M919" s="343">
        <v>2017</v>
      </c>
      <c r="N919" s="344">
        <v>3500700</v>
      </c>
      <c r="O919" s="345">
        <v>43069</v>
      </c>
      <c r="P919" s="345">
        <v>43069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8"/>
        <v>1</v>
      </c>
      <c r="L920" s="342">
        <v>3</v>
      </c>
      <c r="M920" s="343">
        <v>2020</v>
      </c>
      <c r="N920" s="344">
        <v>4014000</v>
      </c>
      <c r="O920" s="345">
        <v>43069</v>
      </c>
      <c r="P920" s="345">
        <v>43069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8"/>
        <v>1</v>
      </c>
      <c r="L921" s="342">
        <v>8</v>
      </c>
      <c r="M921" s="343">
        <v>2025</v>
      </c>
      <c r="N921" s="344">
        <v>0</v>
      </c>
      <c r="O921" s="345">
        <v>43069</v>
      </c>
      <c r="P921" s="345">
        <v>43069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590</v>
      </c>
      <c r="H922" s="341">
        <v>11.2</v>
      </c>
      <c r="I922" s="341"/>
      <c r="J922" s="341" t="s">
        <v>152</v>
      </c>
      <c r="K922" s="342" t="b">
        <f t="shared" si="38"/>
        <v>1</v>
      </c>
      <c r="L922" s="342">
        <v>7</v>
      </c>
      <c r="M922" s="343">
        <v>2024</v>
      </c>
      <c r="N922" s="344">
        <v>0</v>
      </c>
      <c r="O922" s="345">
        <v>43069</v>
      </c>
      <c r="P922" s="345">
        <v>43069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590</v>
      </c>
      <c r="H923" s="341">
        <v>11.2</v>
      </c>
      <c r="I923" s="341"/>
      <c r="J923" s="341" t="s">
        <v>152</v>
      </c>
      <c r="K923" s="342" t="b">
        <f t="shared" si="38"/>
        <v>1</v>
      </c>
      <c r="L923" s="342">
        <v>1</v>
      </c>
      <c r="M923" s="343">
        <v>2018</v>
      </c>
      <c r="N923" s="344">
        <v>3911000</v>
      </c>
      <c r="O923" s="345">
        <v>43069</v>
      </c>
      <c r="P923" s="345">
        <v>43069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590</v>
      </c>
      <c r="H924" s="341">
        <v>11.2</v>
      </c>
      <c r="I924" s="341"/>
      <c r="J924" s="341" t="s">
        <v>152</v>
      </c>
      <c r="K924" s="342" t="b">
        <f t="shared" si="38"/>
        <v>1</v>
      </c>
      <c r="L924" s="342">
        <v>4</v>
      </c>
      <c r="M924" s="343">
        <v>2021</v>
      </c>
      <c r="N924" s="344">
        <v>0</v>
      </c>
      <c r="O924" s="345">
        <v>43069</v>
      </c>
      <c r="P924" s="345">
        <v>43069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590</v>
      </c>
      <c r="H925" s="341">
        <v>11.2</v>
      </c>
      <c r="I925" s="341"/>
      <c r="J925" s="341" t="s">
        <v>152</v>
      </c>
      <c r="K925" s="342" t="b">
        <f t="shared" si="38"/>
        <v>1</v>
      </c>
      <c r="L925" s="342">
        <v>5</v>
      </c>
      <c r="M925" s="343">
        <v>2022</v>
      </c>
      <c r="N925" s="344">
        <v>0</v>
      </c>
      <c r="O925" s="345">
        <v>43069</v>
      </c>
      <c r="P925" s="345">
        <v>43069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aca="true" t="shared" si="39" ref="K926:K939">FALSE</f>
        <v>0</v>
      </c>
      <c r="L926" s="342">
        <v>2</v>
      </c>
      <c r="M926" s="343">
        <v>2019</v>
      </c>
      <c r="N926" s="344">
        <v>1173704.15</v>
      </c>
      <c r="O926" s="345">
        <v>43069</v>
      </c>
      <c r="P926" s="345">
        <v>43069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9"/>
        <v>0</v>
      </c>
      <c r="L927" s="342">
        <v>8</v>
      </c>
      <c r="M927" s="343">
        <v>2025</v>
      </c>
      <c r="N927" s="344">
        <v>0</v>
      </c>
      <c r="O927" s="345">
        <v>43069</v>
      </c>
      <c r="P927" s="345">
        <v>43069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9"/>
        <v>0</v>
      </c>
      <c r="L928" s="342">
        <v>3</v>
      </c>
      <c r="M928" s="343">
        <v>2020</v>
      </c>
      <c r="N928" s="344">
        <v>617916.14</v>
      </c>
      <c r="O928" s="345">
        <v>43069</v>
      </c>
      <c r="P928" s="345">
        <v>43069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9"/>
        <v>0</v>
      </c>
      <c r="L929" s="342">
        <v>5</v>
      </c>
      <c r="M929" s="343">
        <v>2022</v>
      </c>
      <c r="N929" s="344">
        <v>0</v>
      </c>
      <c r="O929" s="345">
        <v>43069</v>
      </c>
      <c r="P929" s="345">
        <v>43069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9"/>
        <v>0</v>
      </c>
      <c r="L930" s="342">
        <v>4</v>
      </c>
      <c r="M930" s="343">
        <v>2021</v>
      </c>
      <c r="N930" s="344">
        <v>2977629.81</v>
      </c>
      <c r="O930" s="345">
        <v>43069</v>
      </c>
      <c r="P930" s="345">
        <v>43069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700</v>
      </c>
      <c r="H931" s="341">
        <v>12.2</v>
      </c>
      <c r="I931" s="341"/>
      <c r="J931" s="341" t="s">
        <v>183</v>
      </c>
      <c r="K931" s="342" t="b">
        <f t="shared" si="39"/>
        <v>0</v>
      </c>
      <c r="L931" s="342">
        <v>7</v>
      </c>
      <c r="M931" s="343">
        <v>2024</v>
      </c>
      <c r="N931" s="344">
        <v>0</v>
      </c>
      <c r="O931" s="345">
        <v>43069</v>
      </c>
      <c r="P931" s="345">
        <v>43069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700</v>
      </c>
      <c r="H932" s="341">
        <v>12.2</v>
      </c>
      <c r="I932" s="341"/>
      <c r="J932" s="341" t="s">
        <v>183</v>
      </c>
      <c r="K932" s="342" t="b">
        <f t="shared" si="39"/>
        <v>0</v>
      </c>
      <c r="L932" s="342">
        <v>6</v>
      </c>
      <c r="M932" s="343">
        <v>2023</v>
      </c>
      <c r="N932" s="344">
        <v>0</v>
      </c>
      <c r="O932" s="345">
        <v>43069</v>
      </c>
      <c r="P932" s="345">
        <v>43069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700</v>
      </c>
      <c r="H933" s="341">
        <v>12.2</v>
      </c>
      <c r="I933" s="341"/>
      <c r="J933" s="341" t="s">
        <v>183</v>
      </c>
      <c r="K933" s="342" t="b">
        <f t="shared" si="39"/>
        <v>0</v>
      </c>
      <c r="L933" s="342">
        <v>1</v>
      </c>
      <c r="M933" s="343">
        <v>2018</v>
      </c>
      <c r="N933" s="344">
        <v>4037531.39</v>
      </c>
      <c r="O933" s="345">
        <v>43069</v>
      </c>
      <c r="P933" s="345">
        <v>43069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700</v>
      </c>
      <c r="H934" s="341">
        <v>12.2</v>
      </c>
      <c r="I934" s="341"/>
      <c r="J934" s="341" t="s">
        <v>183</v>
      </c>
      <c r="K934" s="342" t="b">
        <f t="shared" si="39"/>
        <v>0</v>
      </c>
      <c r="L934" s="342">
        <v>0</v>
      </c>
      <c r="M934" s="343">
        <v>2017</v>
      </c>
      <c r="N934" s="344">
        <v>799078.34</v>
      </c>
      <c r="O934" s="345">
        <v>43069</v>
      </c>
      <c r="P934" s="345">
        <v>43069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9"/>
        <v>0</v>
      </c>
      <c r="L935" s="342">
        <v>8</v>
      </c>
      <c r="M935" s="343">
        <v>2025</v>
      </c>
      <c r="N935" s="344">
        <v>0</v>
      </c>
      <c r="O935" s="345">
        <v>43069</v>
      </c>
      <c r="P935" s="345">
        <v>43069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9"/>
        <v>0</v>
      </c>
      <c r="L936" s="342">
        <v>5</v>
      </c>
      <c r="M936" s="343">
        <v>2022</v>
      </c>
      <c r="N936" s="344">
        <v>0</v>
      </c>
      <c r="O936" s="345">
        <v>43069</v>
      </c>
      <c r="P936" s="345">
        <v>43069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9"/>
        <v>0</v>
      </c>
      <c r="L937" s="342">
        <v>6</v>
      </c>
      <c r="M937" s="343">
        <v>2023</v>
      </c>
      <c r="N937" s="344">
        <v>0</v>
      </c>
      <c r="O937" s="345">
        <v>43069</v>
      </c>
      <c r="P937" s="345">
        <v>43069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9"/>
        <v>0</v>
      </c>
      <c r="L938" s="342">
        <v>1</v>
      </c>
      <c r="M938" s="343">
        <v>2018</v>
      </c>
      <c r="N938" s="344">
        <v>0</v>
      </c>
      <c r="O938" s="345">
        <v>43069</v>
      </c>
      <c r="P938" s="345">
        <v>43069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9"/>
        <v>0</v>
      </c>
      <c r="L939" s="342">
        <v>3</v>
      </c>
      <c r="M939" s="343">
        <v>2020</v>
      </c>
      <c r="N939" s="344">
        <v>0</v>
      </c>
      <c r="O939" s="345">
        <v>43069</v>
      </c>
      <c r="P939" s="345">
        <v>43069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40" ref="K940:K966">TRUE</f>
        <v>1</v>
      </c>
      <c r="L940" s="342">
        <v>4</v>
      </c>
      <c r="M940" s="343">
        <v>2021</v>
      </c>
      <c r="N940" s="344">
        <v>0</v>
      </c>
      <c r="O940" s="345">
        <v>43069</v>
      </c>
      <c r="P940" s="345">
        <v>43069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40"/>
        <v>1</v>
      </c>
      <c r="L941" s="342">
        <v>3</v>
      </c>
      <c r="M941" s="343">
        <v>2020</v>
      </c>
      <c r="N941" s="344">
        <v>0</v>
      </c>
      <c r="O941" s="345">
        <v>43069</v>
      </c>
      <c r="P941" s="345">
        <v>43069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40"/>
        <v>1</v>
      </c>
      <c r="L942" s="342">
        <v>6</v>
      </c>
      <c r="M942" s="343">
        <v>2023</v>
      </c>
      <c r="N942" s="344">
        <v>0</v>
      </c>
      <c r="O942" s="345">
        <v>43069</v>
      </c>
      <c r="P942" s="345">
        <v>43069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40"/>
        <v>1</v>
      </c>
      <c r="L943" s="342">
        <v>1</v>
      </c>
      <c r="M943" s="343">
        <v>2018</v>
      </c>
      <c r="N943" s="344">
        <v>0</v>
      </c>
      <c r="O943" s="345">
        <v>43069</v>
      </c>
      <c r="P943" s="345">
        <v>43069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40"/>
        <v>1</v>
      </c>
      <c r="L944" s="342">
        <v>7</v>
      </c>
      <c r="M944" s="343">
        <v>2024</v>
      </c>
      <c r="N944" s="344">
        <v>0</v>
      </c>
      <c r="O944" s="345">
        <v>43069</v>
      </c>
      <c r="P944" s="345">
        <v>43069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40"/>
        <v>1</v>
      </c>
      <c r="L945" s="342">
        <v>0</v>
      </c>
      <c r="M945" s="343">
        <v>2017</v>
      </c>
      <c r="N945" s="344">
        <v>0</v>
      </c>
      <c r="O945" s="345">
        <v>43069</v>
      </c>
      <c r="P945" s="345">
        <v>43069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40"/>
        <v>1</v>
      </c>
      <c r="L946" s="342">
        <v>8</v>
      </c>
      <c r="M946" s="343">
        <v>2025</v>
      </c>
      <c r="N946" s="344">
        <v>0</v>
      </c>
      <c r="O946" s="345">
        <v>43069</v>
      </c>
      <c r="P946" s="345">
        <v>43069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40"/>
        <v>1</v>
      </c>
      <c r="L947" s="342">
        <v>5</v>
      </c>
      <c r="M947" s="343">
        <v>2022</v>
      </c>
      <c r="N947" s="344">
        <v>0</v>
      </c>
      <c r="O947" s="345">
        <v>43069</v>
      </c>
      <c r="P947" s="345">
        <v>43069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40"/>
        <v>1</v>
      </c>
      <c r="L948" s="342">
        <v>2</v>
      </c>
      <c r="M948" s="343">
        <v>2019</v>
      </c>
      <c r="N948" s="344">
        <v>0</v>
      </c>
      <c r="O948" s="345">
        <v>43069</v>
      </c>
      <c r="P948" s="345">
        <v>43069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40"/>
        <v>1</v>
      </c>
      <c r="L949" s="342">
        <v>3</v>
      </c>
      <c r="M949" s="343">
        <v>2020</v>
      </c>
      <c r="N949" s="344">
        <v>0</v>
      </c>
      <c r="O949" s="345">
        <v>43069</v>
      </c>
      <c r="P949" s="345">
        <v>43069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40"/>
        <v>1</v>
      </c>
      <c r="L950" s="342">
        <v>0</v>
      </c>
      <c r="M950" s="343">
        <v>2017</v>
      </c>
      <c r="N950" s="344">
        <v>0</v>
      </c>
      <c r="O950" s="345">
        <v>43069</v>
      </c>
      <c r="P950" s="345">
        <v>43069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40"/>
        <v>1</v>
      </c>
      <c r="L951" s="342">
        <v>4</v>
      </c>
      <c r="M951" s="343">
        <v>2021</v>
      </c>
      <c r="N951" s="344">
        <v>0</v>
      </c>
      <c r="O951" s="345">
        <v>43069</v>
      </c>
      <c r="P951" s="345">
        <v>43069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40"/>
        <v>1</v>
      </c>
      <c r="L952" s="342">
        <v>5</v>
      </c>
      <c r="M952" s="343">
        <v>2022</v>
      </c>
      <c r="N952" s="344">
        <v>0</v>
      </c>
      <c r="O952" s="345">
        <v>43069</v>
      </c>
      <c r="P952" s="345">
        <v>43069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40"/>
        <v>1</v>
      </c>
      <c r="L953" s="342">
        <v>2</v>
      </c>
      <c r="M953" s="343">
        <v>2019</v>
      </c>
      <c r="N953" s="344">
        <v>0</v>
      </c>
      <c r="O953" s="345">
        <v>43069</v>
      </c>
      <c r="P953" s="345">
        <v>43069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40"/>
        <v>1</v>
      </c>
      <c r="L954" s="342">
        <v>8</v>
      </c>
      <c r="M954" s="343">
        <v>2025</v>
      </c>
      <c r="N954" s="344">
        <v>0</v>
      </c>
      <c r="O954" s="345">
        <v>43069</v>
      </c>
      <c r="P954" s="345">
        <v>43069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40"/>
        <v>1</v>
      </c>
      <c r="L955" s="342">
        <v>7</v>
      </c>
      <c r="M955" s="343">
        <v>2024</v>
      </c>
      <c r="N955" s="344">
        <v>0</v>
      </c>
      <c r="O955" s="345">
        <v>43069</v>
      </c>
      <c r="P955" s="345">
        <v>43069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40"/>
        <v>1</v>
      </c>
      <c r="L956" s="342">
        <v>6</v>
      </c>
      <c r="M956" s="343">
        <v>2023</v>
      </c>
      <c r="N956" s="344">
        <v>0</v>
      </c>
      <c r="O956" s="345">
        <v>43069</v>
      </c>
      <c r="P956" s="345">
        <v>43069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40"/>
        <v>1</v>
      </c>
      <c r="L957" s="342">
        <v>1</v>
      </c>
      <c r="M957" s="343">
        <v>2018</v>
      </c>
      <c r="N957" s="344">
        <v>0</v>
      </c>
      <c r="O957" s="345">
        <v>43069</v>
      </c>
      <c r="P957" s="345">
        <v>43069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40"/>
        <v>1</v>
      </c>
      <c r="L958" s="342">
        <v>0</v>
      </c>
      <c r="M958" s="343">
        <v>2017</v>
      </c>
      <c r="N958" s="344">
        <v>158682</v>
      </c>
      <c r="O958" s="345">
        <v>43069</v>
      </c>
      <c r="P958" s="345">
        <v>43069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40"/>
        <v>1</v>
      </c>
      <c r="L959" s="342">
        <v>2</v>
      </c>
      <c r="M959" s="343">
        <v>2019</v>
      </c>
      <c r="N959" s="344">
        <v>0</v>
      </c>
      <c r="O959" s="345">
        <v>43069</v>
      </c>
      <c r="P959" s="345">
        <v>43069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40"/>
        <v>1</v>
      </c>
      <c r="L960" s="342">
        <v>3</v>
      </c>
      <c r="M960" s="343">
        <v>2020</v>
      </c>
      <c r="N960" s="344">
        <v>0</v>
      </c>
      <c r="O960" s="345">
        <v>43069</v>
      </c>
      <c r="P960" s="345">
        <v>43069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40"/>
        <v>1</v>
      </c>
      <c r="L961" s="342">
        <v>1</v>
      </c>
      <c r="M961" s="343">
        <v>2018</v>
      </c>
      <c r="N961" s="344">
        <v>4950000</v>
      </c>
      <c r="O961" s="345">
        <v>43069</v>
      </c>
      <c r="P961" s="345">
        <v>43069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40"/>
        <v>1</v>
      </c>
      <c r="L962" s="342">
        <v>6</v>
      </c>
      <c r="M962" s="343">
        <v>2023</v>
      </c>
      <c r="N962" s="344">
        <v>0</v>
      </c>
      <c r="O962" s="345">
        <v>43069</v>
      </c>
      <c r="P962" s="345">
        <v>43069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40"/>
        <v>1</v>
      </c>
      <c r="L963" s="342">
        <v>7</v>
      </c>
      <c r="M963" s="343">
        <v>2024</v>
      </c>
      <c r="N963" s="344">
        <v>0</v>
      </c>
      <c r="O963" s="345">
        <v>43069</v>
      </c>
      <c r="P963" s="345">
        <v>43069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40"/>
        <v>1</v>
      </c>
      <c r="L964" s="342">
        <v>5</v>
      </c>
      <c r="M964" s="343">
        <v>2022</v>
      </c>
      <c r="N964" s="344">
        <v>0</v>
      </c>
      <c r="O964" s="345">
        <v>43069</v>
      </c>
      <c r="P964" s="345">
        <v>43069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40"/>
        <v>1</v>
      </c>
      <c r="L965" s="342">
        <v>8</v>
      </c>
      <c r="M965" s="343">
        <v>2025</v>
      </c>
      <c r="N965" s="344">
        <v>0</v>
      </c>
      <c r="O965" s="345">
        <v>43069</v>
      </c>
      <c r="P965" s="345">
        <v>43069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40"/>
        <v>1</v>
      </c>
      <c r="L966" s="342">
        <v>4</v>
      </c>
      <c r="M966" s="343">
        <v>2021</v>
      </c>
      <c r="N966" s="344">
        <v>0</v>
      </c>
      <c r="O966" s="345">
        <v>43069</v>
      </c>
      <c r="P966" s="345">
        <v>43069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1" ref="K967:K975">FALSE</f>
        <v>0</v>
      </c>
      <c r="L967" s="342">
        <v>4</v>
      </c>
      <c r="M967" s="343">
        <v>2021</v>
      </c>
      <c r="N967" s="344">
        <v>0</v>
      </c>
      <c r="O967" s="345">
        <v>43069</v>
      </c>
      <c r="P967" s="345">
        <v>43069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1"/>
        <v>0</v>
      </c>
      <c r="L968" s="342">
        <v>3</v>
      </c>
      <c r="M968" s="343">
        <v>2020</v>
      </c>
      <c r="N968" s="344">
        <v>0</v>
      </c>
      <c r="O968" s="345">
        <v>43069</v>
      </c>
      <c r="P968" s="345">
        <v>43069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1"/>
        <v>0</v>
      </c>
      <c r="L969" s="342">
        <v>8</v>
      </c>
      <c r="M969" s="343">
        <v>2025</v>
      </c>
      <c r="N969" s="344">
        <v>0</v>
      </c>
      <c r="O969" s="345">
        <v>43069</v>
      </c>
      <c r="P969" s="345">
        <v>43069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1"/>
        <v>0</v>
      </c>
      <c r="L970" s="342">
        <v>6</v>
      </c>
      <c r="M970" s="343">
        <v>2023</v>
      </c>
      <c r="N970" s="344">
        <v>0</v>
      </c>
      <c r="O970" s="345">
        <v>43069</v>
      </c>
      <c r="P970" s="345">
        <v>43069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1"/>
        <v>0</v>
      </c>
      <c r="L971" s="342">
        <v>0</v>
      </c>
      <c r="M971" s="343">
        <v>2017</v>
      </c>
      <c r="N971" s="344">
        <v>0</v>
      </c>
      <c r="O971" s="345">
        <v>43069</v>
      </c>
      <c r="P971" s="345">
        <v>43069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1"/>
        <v>0</v>
      </c>
      <c r="L972" s="342">
        <v>7</v>
      </c>
      <c r="M972" s="343">
        <v>2024</v>
      </c>
      <c r="N972" s="344">
        <v>0</v>
      </c>
      <c r="O972" s="345">
        <v>43069</v>
      </c>
      <c r="P972" s="345">
        <v>43069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1"/>
        <v>0</v>
      </c>
      <c r="L973" s="342">
        <v>5</v>
      </c>
      <c r="M973" s="343">
        <v>2022</v>
      </c>
      <c r="N973" s="344">
        <v>0</v>
      </c>
      <c r="O973" s="345">
        <v>43069</v>
      </c>
      <c r="P973" s="345">
        <v>43069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1"/>
        <v>0</v>
      </c>
      <c r="L974" s="342">
        <v>1</v>
      </c>
      <c r="M974" s="343">
        <v>2018</v>
      </c>
      <c r="N974" s="344">
        <v>0</v>
      </c>
      <c r="O974" s="345">
        <v>43069</v>
      </c>
      <c r="P974" s="345">
        <v>43069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1"/>
        <v>0</v>
      </c>
      <c r="L975" s="342">
        <v>2</v>
      </c>
      <c r="M975" s="343">
        <v>2019</v>
      </c>
      <c r="N975" s="344">
        <v>0</v>
      </c>
      <c r="O975" s="345">
        <v>43069</v>
      </c>
      <c r="P975" s="345">
        <v>43069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2" ref="K976:K984">TRUE</f>
        <v>1</v>
      </c>
      <c r="L976" s="342">
        <v>1</v>
      </c>
      <c r="M976" s="343">
        <v>2018</v>
      </c>
      <c r="N976" s="344">
        <v>0</v>
      </c>
      <c r="O976" s="345">
        <v>43069</v>
      </c>
      <c r="P976" s="345">
        <v>43069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2"/>
        <v>1</v>
      </c>
      <c r="L977" s="342">
        <v>7</v>
      </c>
      <c r="M977" s="343">
        <v>2024</v>
      </c>
      <c r="N977" s="344">
        <v>0</v>
      </c>
      <c r="O977" s="345">
        <v>43069</v>
      </c>
      <c r="P977" s="345">
        <v>43069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2"/>
        <v>1</v>
      </c>
      <c r="L978" s="342">
        <v>5</v>
      </c>
      <c r="M978" s="343">
        <v>2022</v>
      </c>
      <c r="N978" s="344">
        <v>0</v>
      </c>
      <c r="O978" s="345">
        <v>43069</v>
      </c>
      <c r="P978" s="345">
        <v>43069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2"/>
        <v>1</v>
      </c>
      <c r="L979" s="342">
        <v>6</v>
      </c>
      <c r="M979" s="343">
        <v>2023</v>
      </c>
      <c r="N979" s="344">
        <v>0</v>
      </c>
      <c r="O979" s="345">
        <v>43069</v>
      </c>
      <c r="P979" s="345">
        <v>43069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2"/>
        <v>1</v>
      </c>
      <c r="L980" s="342">
        <v>0</v>
      </c>
      <c r="M980" s="343">
        <v>2017</v>
      </c>
      <c r="N980" s="344">
        <v>0</v>
      </c>
      <c r="O980" s="345">
        <v>43069</v>
      </c>
      <c r="P980" s="345">
        <v>43069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2"/>
        <v>1</v>
      </c>
      <c r="L981" s="342">
        <v>8</v>
      </c>
      <c r="M981" s="343">
        <v>2025</v>
      </c>
      <c r="N981" s="344">
        <v>0</v>
      </c>
      <c r="O981" s="345">
        <v>43069</v>
      </c>
      <c r="P981" s="345">
        <v>43069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2"/>
        <v>1</v>
      </c>
      <c r="L982" s="342">
        <v>4</v>
      </c>
      <c r="M982" s="343">
        <v>2021</v>
      </c>
      <c r="N982" s="344">
        <v>0</v>
      </c>
      <c r="O982" s="345">
        <v>43069</v>
      </c>
      <c r="P982" s="345">
        <v>43069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2"/>
        <v>1</v>
      </c>
      <c r="L983" s="342">
        <v>3</v>
      </c>
      <c r="M983" s="343">
        <v>2020</v>
      </c>
      <c r="N983" s="344">
        <v>0</v>
      </c>
      <c r="O983" s="345">
        <v>43069</v>
      </c>
      <c r="P983" s="345">
        <v>43069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2"/>
        <v>1</v>
      </c>
      <c r="L984" s="342">
        <v>2</v>
      </c>
      <c r="M984" s="343">
        <v>2019</v>
      </c>
      <c r="N984" s="344">
        <v>0</v>
      </c>
      <c r="O984" s="345">
        <v>43069</v>
      </c>
      <c r="P984" s="345">
        <v>43069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2014-10-20T08:22:42Z</cp:lastPrinted>
  <dcterms:created xsi:type="dcterms:W3CDTF">2010-09-17T02:30:46Z</dcterms:created>
  <dcterms:modified xsi:type="dcterms:W3CDTF">2017-12-01T08:21:55Z</dcterms:modified>
  <cp:category/>
  <cp:version/>
  <cp:contentType/>
  <cp:contentStatus/>
  <cp:revision>4</cp:revision>
</cp:coreProperties>
</file>