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<sst xmlns="http://schemas.openxmlformats.org/spreadsheetml/2006/main" count="5590" uniqueCount="485">
  <si>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WRAZ Z PROGNOZĄ DŁUGU NA LATA 2018-2026</t>
  </si>
  <si>
    <t xml:space="preserve">Wykonanie </t>
  </si>
  <si>
    <t>Plan 3 kw.</t>
  </si>
  <si>
    <t>Załącznik Nr 1 do Uchwały Nr XLVIII/347/2018                         Rady Miasta Brzeziny z dnia 25 stycznia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</si>
  <si>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</si>
  <si>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</si>
  <si>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</si>
  <si>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</si>
  <si>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</si>
  <si>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</si>
  <si>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</si>
  <si>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</si>
  <si>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</si>
  <si>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</si>
  <si>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</si>
  <si>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</si>
  <si>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</si>
  <si>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</si>
  <si>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</si>
  <si>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</si>
  <si>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</si>
  <si>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</si>
  <si>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</si>
  <si>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</si>
  <si>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</si>
  <si>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</si>
  <si>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</si>
  <si>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</si>
  <si>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</si>
  <si>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</si>
  <si>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</si>
  <si>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</si>
  <si>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</si>
  <si>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</si>
  <si>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</si>
  <si>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</si>
  <si>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</si>
  <si>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</si>
  <si>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</si>
  <si>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</si>
  <si>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</si>
  <si>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</si>
  <si>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</si>
  <si>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</si>
  <si>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</si>
  <si>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</si>
  <si>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</si>
  <si>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</si>
  <si>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</si>
  <si>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</si>
  <si>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</si>
  <si>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</si>
  <si>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</si>
  <si>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</si>
  <si>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</si>
  <si>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</si>
  <si>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</si>
  <si>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</si>
  <si>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</si>
  <si>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</si>
  <si>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</si>
  <si>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</si>
  <si>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</si>
  <si>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</si>
  <si>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</si>
  <si>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</si>
  <si>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</si>
  <si>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</si>
  <si>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</si>
  <si>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</si>
  <si>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</si>
  <si>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</si>
  <si>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</si>
  <si>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</si>
  <si>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</si>
  <si>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</si>
  <si>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</si>
  <si>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</si>
  <si>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</si>
  <si>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</si>
  <si>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</si>
  <si>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</si>
  <si>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</si>
  <si>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</si>
  <si>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</si>
  <si>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</si>
  <si>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</si>
  <si>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</si>
  <si>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</si>
  <si>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</si>
  <si>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</si>
  <si>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</si>
  <si>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</si>
  <si>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</si>
  <si>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</si>
  <si>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</si>
  <si>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</si>
  <si>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</si>
  <si>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</si>
  <si>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</si>
  <si>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</si>
  <si>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</si>
  <si>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</si>
  <si>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</si>
  <si>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</si>
  <si>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</si>
  <si>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</si>
  <si>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</si>
  <si>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</si>
  <si>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</si>
  <si>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</si>
  <si>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</si>
  <si>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</si>
  <si>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</si>
  <si>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</si>
  <si>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</si>
  <si>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</si>
  <si>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</si>
  <si>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</si>
  <si>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</si>
  <si>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</si>
  <si>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</si>
  <si>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</si>
  <si>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</si>
  <si>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</si>
  <si>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</si>
  <si>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</si>
  <si>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</si>
  <si>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</si>
  <si>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</si>
  <si>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</si>
  <si>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</si>
  <si>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</si>
  <si>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</si>
  <si>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</si>
  <si>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</si>
  <si>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</si>
  <si>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</si>
  <si>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</si>
  <si>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</si>
  <si>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</si>
  <si>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</si>
  <si>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</si>
  <si>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</si>
  <si>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</si>
  <si>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</si>
  <si>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</si>
  <si>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</si>
  <si>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</si>
  <si>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</si>
  <si>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</si>
  <si>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</si>
  <si>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</si>
  <si>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</si>
  <si>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</si>
  <si>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</si>
  <si>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</si>
  <si>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</si>
  <si>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</si>
  <si>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</si>
  <si>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</si>
  <si>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</si>
  <si>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</si>
  <si>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</si>
  <si>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</si>
  <si>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</si>
  <si>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</si>
  <si>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</si>
  <si>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</si>
  <si>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</si>
  <si>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</si>
  <si>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</si>
  <si>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</si>
  <si>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</si>
  <si>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</si>
  <si>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</si>
  <si>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</si>
  <si>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</si>
  <si>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</si>
  <si>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</si>
  <si>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</si>
  <si>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</si>
  <si>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</si>
  <si>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</si>
  <si>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</si>
  <si>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</si>
  <si>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</si>
  <si>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</si>
  <si>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</si>
  <si>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</si>
  <si>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</si>
  <si>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</si>
  <si>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</si>
  <si>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</si>
  <si>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</si>
  <si>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</si>
  <si>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</si>
  <si>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</si>
  <si>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</si>
  <si>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</si>
  <si>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</si>
  <si>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</si>
  <si>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</si>
  <si>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</si>
  <si>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</si>
  <si>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</si>
  <si>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</si>
  <si>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</si>
  <si>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</si>
  <si>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</si>
  <si>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</si>
  <si>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</si>
  <si>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</si>
  <si>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</si>
  <si>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</si>
  <si>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</si>
  <si>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</si>
  <si>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</si>
  <si>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</si>
  <si>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</si>
  <si>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</si>
  <si>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</si>
  <si>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</si>
  <si>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</si>
  <si>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</si>
  <si>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</si>
  <si>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</si>
  <si>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</si>
  <si>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</si>
  <si>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</si>
  <si>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</si>
  <si>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</si>
  <si>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</si>
  <si>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</si>
  <si>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</si>
  <si>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</si>
  <si>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</si>
  <si>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</si>
  <si>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</si>
  <si>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</si>
  <si>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</si>
  <si>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</si>
  <si>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</si>
  <si>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</si>
  <si>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</si>
  <si>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</si>
  <si>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</si>
  <si>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</si>
  <si>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</si>
  <si>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</si>
  <si>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</si>
  <si>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</si>
  <si>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</si>
  <si>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</si>
  <si>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</si>
  <si>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</si>
  <si>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</si>
  <si>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</si>
  <si>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</si>
  <si>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</si>
  <si>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</si>
  <si>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</si>
  <si>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</si>
  <si>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</si>
  <si>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</si>
  <si>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</si>
  <si>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</si>
  <si>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</si>
  <si>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</si>
  <si>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</si>
  <si>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</si>
  <si>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</si>
  <si>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</si>
  <si>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</si>
  <si>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</si>
  <si>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</si>
  <si>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</si>
  <si>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</si>
  <si>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</si>
  <si>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</si>
  <si>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</si>
  <si>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</si>
  <si>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</si>
  <si>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</si>
  <si>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</si>
  <si>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</si>
  <si>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</si>
  <si>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</si>
  <si>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</si>
  <si>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</si>
  <si>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</si>
  <si>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</si>
  <si>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</si>
  <si>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</si>
  <si>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</si>
  <si>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</si>
  <si>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</si>
  <si>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</si>
  <si>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</si>
  <si>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</si>
  <si>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</si>
  <si>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</si>
  <si>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</si>
  <si>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</si>
  <si>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</si>
  <si>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</si>
  <si>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</si>
  <si>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</si>
  <si>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</si>
  <si>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</si>
  <si>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</si>
  <si>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</si>
  <si>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</si>
  <si>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</si>
  <si>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</si>
  <si>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</si>
  <si>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</si>
  <si>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</si>
  <si>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</si>
  <si>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</si>
  <si>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</si>
  <si>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</si>
  <si>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</si>
  <si>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</si>
  <si>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</si>
  <si>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</si>
  <si>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</si>
  <si>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</si>
  <si>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</si>
  <si>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</si>
  <si>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</si>
  <si>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</si>
  <si>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</si>
  <si>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</si>
  <si>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</si>
  <si>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</si>
  <si>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</si>
  <si>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</si>
  <si>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</si>
  <si>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</si>
  <si>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</si>
  <si>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</si>
  <si>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</si>
  <si>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</si>
  <si>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</si>
  <si>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</si>
  <si>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</si>
  <si>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</si>
  <si>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</si>
  <si>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</si>
  <si>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</si>
  <si>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</si>
  <si>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</si>
  <si>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</si>
  <si>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</si>
  <si>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</si>
  <si>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</si>
  <si>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</si>
  <si>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</si>
  <si>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</si>
  <si>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</si>
  <si>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</si>
  <si>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</si>
  <si>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</si>
  <si>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</si>
  <si>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</si>
  <si>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</si>
  <si>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</si>
  <si>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</si>
  <si>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</si>
  <si>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</si>
  <si>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</si>
  <si>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</si>
  <si>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</si>
  <si>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</si>
  <si>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</si>
  <si>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</si>
  <si>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</si>
  <si>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</si>
  <si>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</si>
  <si>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</si>
  <si>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</si>
  <si>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</si>
  <si>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</si>
  <si>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</si>
  <si>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</si>
  <si>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</si>
  <si>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</si>
  <si>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</si>
  <si>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</si>
  <si>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</si>
  <si>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</si>
  <si>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</si>
  <si>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</si>
  <si>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</si>
  <si>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</si>
  <si>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</si>
  <si>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</si>
  <si>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</si>
  <si>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</si>
  <si>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</si>
  <si>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</si>
  <si>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</si>
  <si>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</si>
  <si>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</si>
  <si>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</si>
  <si>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</si>
  <si>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</si>
  <si>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</si>
  <si>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</si>
  <si>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</si>
  <si>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</si>
  <si>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</si>
  <si>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</si>
  <si>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</si>
  <si>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</si>
  <si>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</si>
  <si>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</si>
  <si>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</si>
  <si>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</si>
  <si>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</si>
  <si>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</si>
  <si>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</si>
  <si>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</si>
  <si>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</si>
  <si>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</si>
  <si>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</si>
  <si>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</si>
  <si>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</si>
  <si>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</si>
  <si>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</si>
  <si>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</si>
  <si>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</si>
  <si>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</si>
  <si>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</si>
  <si>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</si>
  <si>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</si>
  <si>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</si>
  <si>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</si>
  <si>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</si>
  <si>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</si>
  <si>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</si>
  <si>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</si>
  <si>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</si>
  <si>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</si>
  <si>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</si>
  <si>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</si>
  <si>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</si>
  <si>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</si>
  <si>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</si>
  <si>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</si>
  <si>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</si>
  <si>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</si>
  <si>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</si>
  <si>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</si>
  <si>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</si>
  <si>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</si>
  <si>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</si>
  <si>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</si>
  <si>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</si>
  <si>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</si>
  <si>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</si>
  <si>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</si>
  <si>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</si>
  <si>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</si>
  <si>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</si>
  <si>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</si>
  <si>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</si>
  <si>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</si>
  <si>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</si>
  <si>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</si>
  <si>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</si>
  <si>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</si>
  <si>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</si>
  <si>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</si>
  <si>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25.01.2018r.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</si>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</sst>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7.5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horizontal="left" vertical="center" wrapText="1"/>
      <protection locked="0"/>
    </xf>
    <xf numFmtId="164" fontId="39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>
      <alignment vertical="center" wrapTex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1" fillId="0" borderId="17" xfId="0" applyFont="1" applyBorder="1" applyAlignment="1">
      <alignment horizontal="left" vertical="center"/>
    </xf>
    <xf numFmtId="164" fontId="41" fillId="24" borderId="18" xfId="0" applyFont="1" applyFill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1"/>
    </xf>
    <xf numFmtId="168" fontId="41" fillId="20" borderId="17" xfId="99" applyNumberFormat="1" applyFont="1" applyFill="1" applyBorder="1" applyAlignment="1">
      <alignment vertical="center" shrinkToFit="1"/>
      <protection/>
    </xf>
    <xf numFmtId="168" fontId="41" fillId="20" borderId="20" xfId="99" applyNumberFormat="1" applyFont="1" applyFill="1" applyBorder="1" applyAlignment="1">
      <alignment vertical="center" shrinkToFit="1"/>
      <protection/>
    </xf>
    <xf numFmtId="168" fontId="41" fillId="20" borderId="21" xfId="99" applyNumberFormat="1" applyFont="1" applyFill="1" applyBorder="1" applyAlignment="1">
      <alignment vertical="center" shrinkToFit="1"/>
      <protection/>
    </xf>
    <xf numFmtId="168" fontId="41" fillId="0" borderId="22" xfId="99" applyNumberFormat="1" applyFont="1" applyFill="1" applyBorder="1" applyAlignment="1">
      <alignment vertical="center" shrinkToFit="1"/>
      <protection/>
    </xf>
    <xf numFmtId="168" fontId="41" fillId="0" borderId="20" xfId="99" applyNumberFormat="1" applyFont="1" applyFill="1" applyBorder="1" applyAlignment="1">
      <alignment vertical="center" shrinkToFit="1"/>
      <protection/>
    </xf>
    <xf numFmtId="164" fontId="41" fillId="0" borderId="18" xfId="0" applyFont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2"/>
    </xf>
    <xf numFmtId="164" fontId="41" fillId="0" borderId="18" xfId="0" applyFont="1" applyBorder="1" applyAlignment="1">
      <alignment horizontal="left" vertical="center" wrapText="1" indent="3"/>
    </xf>
    <xf numFmtId="164" fontId="41" fillId="0" borderId="18" xfId="0" applyFont="1" applyBorder="1" applyAlignment="1">
      <alignment horizontal="left" vertical="center" wrapText="1" indent="4"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68" fontId="40" fillId="0" borderId="22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9" fontId="41" fillId="20" borderId="17" xfId="99" applyNumberFormat="1" applyFont="1" applyFill="1" applyBorder="1" applyAlignment="1">
      <alignment vertical="center" shrinkToFit="1"/>
      <protection/>
    </xf>
    <xf numFmtId="169" fontId="41" fillId="20" borderId="20" xfId="99" applyNumberFormat="1" applyFont="1" applyFill="1" applyBorder="1" applyAlignment="1">
      <alignment vertical="center" shrinkToFit="1"/>
      <protection/>
    </xf>
    <xf numFmtId="169" fontId="41" fillId="20" borderId="21" xfId="99" applyNumberFormat="1" applyFont="1" applyFill="1" applyBorder="1" applyAlignment="1">
      <alignment vertical="center" shrinkToFit="1"/>
      <protection/>
    </xf>
    <xf numFmtId="169" fontId="41" fillId="0" borderId="22" xfId="99" applyNumberFormat="1" applyFont="1" applyFill="1" applyBorder="1" applyAlignment="1">
      <alignment vertical="center" shrinkToFit="1"/>
      <protection/>
    </xf>
    <xf numFmtId="169" fontId="41" fillId="0" borderId="20" xfId="99" applyNumberFormat="1" applyFont="1" applyFill="1" applyBorder="1" applyAlignment="1">
      <alignment vertical="center" shrinkToFit="1"/>
      <protection/>
    </xf>
    <xf numFmtId="164" fontId="41" fillId="0" borderId="17" xfId="0" applyFont="1" applyBorder="1" applyAlignment="1" applyProtection="1">
      <alignment horizontal="left" vertical="center"/>
      <protection locked="0"/>
    </xf>
    <xf numFmtId="164" fontId="41" fillId="0" borderId="19" xfId="0" applyFont="1" applyBorder="1" applyAlignment="1" applyProtection="1">
      <alignment horizontal="left" vertical="center" wrapText="1" indent="1"/>
      <protection locked="0"/>
    </xf>
    <xf numFmtId="164" fontId="41" fillId="0" borderId="22" xfId="99" applyNumberFormat="1" applyFont="1" applyFill="1" applyBorder="1" applyAlignment="1">
      <alignment horizontal="center" vertical="center" shrinkToFit="1"/>
      <protection/>
    </xf>
    <xf numFmtId="164" fontId="41" fillId="0" borderId="20" xfId="99" applyNumberFormat="1" applyFont="1" applyFill="1" applyBorder="1" applyAlignment="1">
      <alignment horizontal="center" vertical="center" shrinkToFit="1"/>
      <protection/>
    </xf>
    <xf numFmtId="164" fontId="40" fillId="0" borderId="19" xfId="0" applyFont="1" applyBorder="1" applyAlignment="1">
      <alignment horizontal="left" vertical="center" wrapText="1"/>
    </xf>
    <xf numFmtId="164" fontId="41" fillId="0" borderId="23" xfId="0" applyFont="1" applyBorder="1" applyAlignment="1">
      <alignment horizontal="left" vertical="center"/>
    </xf>
    <xf numFmtId="164" fontId="41" fillId="0" borderId="24" xfId="0" applyFont="1" applyBorder="1" applyAlignment="1" applyProtection="1">
      <alignment horizontal="left" vertical="center"/>
      <protection locked="0"/>
    </xf>
    <xf numFmtId="164" fontId="41" fillId="0" borderId="24" xfId="0" applyFont="1" applyBorder="1" applyAlignment="1">
      <alignment horizontal="left" vertical="center" wrapText="1" indent="1"/>
    </xf>
    <xf numFmtId="168" fontId="41" fillId="20" borderId="23" xfId="99" applyNumberFormat="1" applyFont="1" applyFill="1" applyBorder="1" applyAlignment="1">
      <alignment vertical="center" shrinkToFit="1"/>
      <protection/>
    </xf>
    <xf numFmtId="168" fontId="41" fillId="20" borderId="25" xfId="99" applyNumberFormat="1" applyFont="1" applyFill="1" applyBorder="1" applyAlignment="1">
      <alignment vertical="center" shrinkToFit="1"/>
      <protection/>
    </xf>
    <xf numFmtId="168" fontId="41" fillId="20" borderId="26" xfId="99" applyNumberFormat="1" applyFont="1" applyFill="1" applyBorder="1" applyAlignment="1">
      <alignment vertical="center" shrinkToFit="1"/>
      <protection/>
    </xf>
    <xf numFmtId="168" fontId="41" fillId="0" borderId="27" xfId="99" applyNumberFormat="1" applyFont="1" applyFill="1" applyBorder="1" applyAlignment="1">
      <alignment vertical="center" shrinkToFit="1"/>
      <protection/>
    </xf>
    <xf numFmtId="168" fontId="41" fillId="0" borderId="25" xfId="99" applyNumberFormat="1" applyFont="1" applyFill="1" applyBorder="1" applyAlignment="1">
      <alignment vertical="center" shrinkToFit="1"/>
      <protection/>
    </xf>
    <xf numFmtId="164" fontId="40" fillId="0" borderId="28" xfId="0" applyFont="1" applyBorder="1" applyAlignment="1">
      <alignment horizontal="left" vertical="center"/>
    </xf>
    <xf numFmtId="164" fontId="40" fillId="0" borderId="29" xfId="0" applyFont="1" applyBorder="1" applyAlignment="1" applyProtection="1">
      <alignment horizontal="left" vertical="center"/>
      <protection locked="0"/>
    </xf>
    <xf numFmtId="164" fontId="40" fillId="0" borderId="30" xfId="0" applyFont="1" applyBorder="1" applyAlignment="1">
      <alignment vertical="center" wrapText="1"/>
    </xf>
    <xf numFmtId="168" fontId="40" fillId="20" borderId="28" xfId="99" applyNumberFormat="1" applyFont="1" applyFill="1" applyBorder="1" applyAlignment="1">
      <alignment horizontal="center" vertical="center" shrinkToFit="1"/>
      <protection/>
    </xf>
    <xf numFmtId="168" fontId="40" fillId="20" borderId="31" xfId="99" applyNumberFormat="1" applyFont="1" applyFill="1" applyBorder="1" applyAlignment="1">
      <alignment horizontal="center" vertical="center" shrinkToFit="1"/>
      <protection/>
    </xf>
    <xf numFmtId="168" fontId="40" fillId="20" borderId="32" xfId="99" applyNumberFormat="1" applyFont="1" applyFill="1" applyBorder="1" applyAlignment="1">
      <alignment horizontal="center" vertical="center" shrinkToFit="1"/>
      <protection/>
    </xf>
    <xf numFmtId="168" fontId="40" fillId="0" borderId="33" xfId="99" applyNumberFormat="1" applyFont="1" applyFill="1" applyBorder="1" applyAlignment="1">
      <alignment horizontal="center" vertical="center" shrinkToFit="1"/>
      <protection/>
    </xf>
    <xf numFmtId="168" fontId="40" fillId="0" borderId="31" xfId="99" applyNumberFormat="1" applyFont="1" applyFill="1" applyBorder="1" applyAlignment="1">
      <alignment horizontal="center" vertical="center" shrinkToFit="1"/>
      <protection/>
    </xf>
    <xf numFmtId="164" fontId="41" fillId="0" borderId="34" xfId="0" applyFont="1" applyBorder="1" applyAlignment="1">
      <alignment horizontal="left" vertical="center"/>
    </xf>
    <xf numFmtId="164" fontId="41" fillId="0" borderId="35" xfId="0" applyFont="1" applyBorder="1" applyAlignment="1" applyProtection="1">
      <alignment horizontal="left" vertical="center"/>
      <protection locked="0"/>
    </xf>
    <xf numFmtId="164" fontId="41" fillId="0" borderId="35" xfId="0" applyFont="1" applyBorder="1" applyAlignment="1">
      <alignment horizontal="left" vertical="center" wrapText="1" indent="1"/>
    </xf>
    <xf numFmtId="168" fontId="41" fillId="20" borderId="34" xfId="99" applyNumberFormat="1" applyFont="1" applyFill="1" applyBorder="1" applyAlignment="1">
      <alignment vertical="center" shrinkToFit="1"/>
      <protection/>
    </xf>
    <xf numFmtId="168" fontId="41" fillId="20" borderId="36" xfId="99" applyNumberFormat="1" applyFont="1" applyFill="1" applyBorder="1" applyAlignment="1">
      <alignment vertical="center" shrinkToFit="1"/>
      <protection/>
    </xf>
    <xf numFmtId="168" fontId="41" fillId="20" borderId="37" xfId="99" applyNumberFormat="1" applyFont="1" applyFill="1" applyBorder="1" applyAlignment="1">
      <alignment vertical="center" shrinkToFit="1"/>
      <protection/>
    </xf>
    <xf numFmtId="168" fontId="41" fillId="0" borderId="38" xfId="99" applyNumberFormat="1" applyFont="1" applyFill="1" applyBorder="1" applyAlignment="1">
      <alignment vertical="center" shrinkToFit="1"/>
      <protection/>
    </xf>
    <xf numFmtId="168" fontId="41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40" fillId="0" borderId="28" xfId="103" applyFont="1" applyBorder="1" applyAlignment="1">
      <alignment horizontal="left" vertical="center"/>
      <protection/>
    </xf>
    <xf numFmtId="164" fontId="41" fillId="0" borderId="29" xfId="0" applyFont="1" applyBorder="1" applyAlignment="1" applyProtection="1">
      <alignment horizontal="left" vertical="center"/>
      <protection locked="0"/>
    </xf>
    <xf numFmtId="164" fontId="40" fillId="0" borderId="30" xfId="103" applyFont="1" applyBorder="1" applyAlignment="1">
      <alignment vertical="center" wrapText="1"/>
      <protection/>
    </xf>
    <xf numFmtId="164" fontId="41" fillId="0" borderId="34" xfId="103" applyFont="1" applyBorder="1" applyAlignment="1">
      <alignment horizontal="left" vertical="center"/>
      <protection/>
    </xf>
    <xf numFmtId="164" fontId="41" fillId="0" borderId="0" xfId="0" applyFont="1" applyBorder="1" applyAlignment="1" applyProtection="1">
      <alignment horizontal="left" vertical="center"/>
      <protection locked="0"/>
    </xf>
    <xf numFmtId="164" fontId="41" fillId="0" borderId="35" xfId="103" applyFont="1" applyBorder="1" applyAlignment="1">
      <alignment horizontal="left" vertical="center" wrapText="1" indent="1"/>
      <protection/>
    </xf>
    <xf numFmtId="168" fontId="41" fillId="20" borderId="34" xfId="99" applyNumberFormat="1" applyFont="1" applyFill="1" applyBorder="1" applyAlignment="1">
      <alignment horizontal="center" vertical="center" shrinkToFit="1"/>
      <protection/>
    </xf>
    <xf numFmtId="168" fontId="41" fillId="20" borderId="36" xfId="99" applyNumberFormat="1" applyFont="1" applyFill="1" applyBorder="1" applyAlignment="1">
      <alignment horizontal="center" vertical="center" shrinkToFit="1"/>
      <protection/>
    </xf>
    <xf numFmtId="168" fontId="41" fillId="20" borderId="37" xfId="99" applyNumberFormat="1" applyFont="1" applyFill="1" applyBorder="1" applyAlignment="1">
      <alignment horizontal="center" vertical="center" shrinkToFit="1"/>
      <protection/>
    </xf>
    <xf numFmtId="164" fontId="41" fillId="0" borderId="17" xfId="103" applyFont="1" applyBorder="1" applyAlignment="1">
      <alignment horizontal="left" vertical="center"/>
      <protection/>
    </xf>
    <xf numFmtId="164" fontId="41" fillId="0" borderId="18" xfId="103" applyFont="1" applyBorder="1" applyAlignment="1">
      <alignment horizontal="left" vertical="center" wrapText="1" indent="1"/>
      <protection/>
    </xf>
    <xf numFmtId="168" fontId="41" fillId="20" borderId="17" xfId="99" applyNumberFormat="1" applyFont="1" applyFill="1" applyBorder="1" applyAlignment="1">
      <alignment horizontal="center" vertical="center" shrinkToFit="1"/>
      <protection/>
    </xf>
    <xf numFmtId="168" fontId="41" fillId="20" borderId="20" xfId="99" applyNumberFormat="1" applyFont="1" applyFill="1" applyBorder="1" applyAlignment="1">
      <alignment horizontal="center" vertical="center" shrinkToFit="1"/>
      <protection/>
    </xf>
    <xf numFmtId="168" fontId="41" fillId="20" borderId="21" xfId="99" applyNumberFormat="1" applyFont="1" applyFill="1" applyBorder="1" applyAlignment="1">
      <alignment horizontal="center" vertical="center" shrinkToFit="1"/>
      <protection/>
    </xf>
    <xf numFmtId="170" fontId="41" fillId="0" borderId="22" xfId="107" applyNumberFormat="1" applyFont="1" applyFill="1" applyBorder="1" applyAlignment="1" applyProtection="1">
      <alignment vertical="center" shrinkToFit="1"/>
      <protection/>
    </xf>
    <xf numFmtId="164" fontId="41" fillId="0" borderId="40" xfId="103" applyFont="1" applyBorder="1" applyAlignment="1">
      <alignment horizontal="left" vertical="center"/>
      <protection/>
    </xf>
    <xf numFmtId="164" fontId="41" fillId="0" borderId="10" xfId="0" applyFont="1" applyBorder="1" applyAlignment="1" applyProtection="1">
      <alignment horizontal="left" vertical="center"/>
      <protection locked="0"/>
    </xf>
    <xf numFmtId="164" fontId="41" fillId="0" borderId="41" xfId="103" applyFont="1" applyBorder="1" applyAlignment="1">
      <alignment horizontal="left" vertical="center" wrapText="1" indent="1"/>
      <protection/>
    </xf>
    <xf numFmtId="168" fontId="41" fillId="20" borderId="40" xfId="99" applyNumberFormat="1" applyFont="1" applyFill="1" applyBorder="1" applyAlignment="1">
      <alignment horizontal="center" vertical="center" shrinkToFit="1"/>
      <protection/>
    </xf>
    <xf numFmtId="168" fontId="41" fillId="20" borderId="42" xfId="99" applyNumberFormat="1" applyFont="1" applyFill="1" applyBorder="1" applyAlignment="1">
      <alignment horizontal="center" vertical="center" shrinkToFit="1"/>
      <protection/>
    </xf>
    <xf numFmtId="168" fontId="41" fillId="20" borderId="43" xfId="99" applyNumberFormat="1" applyFont="1" applyFill="1" applyBorder="1" applyAlignment="1">
      <alignment horizontal="center" vertical="center" shrinkToFit="1"/>
      <protection/>
    </xf>
    <xf numFmtId="170" fontId="41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vertical="center" wrapText="1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4" fillId="0" borderId="0" xfId="0" applyFont="1" applyBorder="1" applyAlignment="1" applyProtection="1">
      <alignment horizontal="left" vertical="center" wrapText="1"/>
      <protection locked="0"/>
    </xf>
    <xf numFmtId="164" fontId="46" fillId="0" borderId="0" xfId="0" applyFont="1" applyFill="1" applyBorder="1" applyAlignment="1" applyProtection="1">
      <alignment horizontal="left" vertical="center"/>
      <protection locked="0"/>
    </xf>
    <xf numFmtId="164" fontId="46" fillId="19" borderId="0" xfId="0" applyFont="1" applyFill="1" applyBorder="1" applyAlignment="1" applyProtection="1">
      <alignment horizontal="left" vertical="center" wrapText="1"/>
      <protection locked="0"/>
    </xf>
    <xf numFmtId="164" fontId="46" fillId="11" borderId="0" xfId="0" applyFont="1" applyFill="1" applyBorder="1" applyAlignment="1" applyProtection="1">
      <alignment horizontal="left" vertical="center" wrapText="1"/>
      <protection locked="0"/>
    </xf>
    <xf numFmtId="164" fontId="46" fillId="24" borderId="0" xfId="0" applyFont="1" applyFill="1" applyBorder="1" applyAlignment="1" applyProtection="1">
      <alignment horizontal="left" vertical="center" wrapText="1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46" xfId="102" applyFont="1" applyBorder="1" applyAlignment="1">
      <alignment vertical="center"/>
      <protection/>
    </xf>
    <xf numFmtId="164" fontId="49" fillId="0" borderId="12" xfId="102" applyFont="1" applyBorder="1" applyAlignment="1">
      <alignment vertical="center"/>
      <protection/>
    </xf>
    <xf numFmtId="164" fontId="46" fillId="19" borderId="13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horizontal="center" vertical="center" wrapText="1"/>
    </xf>
    <xf numFmtId="164" fontId="46" fillId="20" borderId="14" xfId="0" applyFont="1" applyFill="1" applyBorder="1" applyAlignment="1">
      <alignment horizontal="center" vertical="center" wrapText="1"/>
    </xf>
    <xf numFmtId="164" fontId="4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49" fillId="0" borderId="18" xfId="102" applyFont="1" applyBorder="1" applyAlignment="1">
      <alignment vertical="center"/>
      <protection/>
    </xf>
    <xf numFmtId="164" fontId="46" fillId="19" borderId="19" xfId="0" applyFont="1" applyFill="1" applyBorder="1" applyAlignment="1">
      <alignment horizontal="left" vertical="center" wrapText="1"/>
    </xf>
    <xf numFmtId="164" fontId="46" fillId="20" borderId="17" xfId="0" applyFont="1" applyFill="1" applyBorder="1" applyAlignment="1">
      <alignment horizontal="center" vertical="center" wrapText="1"/>
    </xf>
    <xf numFmtId="164" fontId="46" fillId="20" borderId="20" xfId="0" applyFont="1" applyFill="1" applyBorder="1" applyAlignment="1">
      <alignment horizontal="center" vertical="center" wrapText="1"/>
    </xf>
    <xf numFmtId="164" fontId="4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51" fillId="0" borderId="18" xfId="102" applyFont="1" applyBorder="1" applyAlignment="1">
      <alignment vertical="center"/>
      <protection/>
    </xf>
    <xf numFmtId="164" fontId="46" fillId="20" borderId="17" xfId="0" applyFont="1" applyFill="1" applyBorder="1" applyAlignment="1">
      <alignment horizontal="center" vertical="center"/>
    </xf>
    <xf numFmtId="164" fontId="4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49" fillId="0" borderId="41" xfId="102" applyFont="1" applyBorder="1" applyAlignment="1">
      <alignment vertical="center"/>
      <protection/>
    </xf>
    <xf numFmtId="164" fontId="46" fillId="24" borderId="49" xfId="0" applyFont="1" applyFill="1" applyBorder="1" applyAlignment="1">
      <alignment horizontal="left" vertical="center" wrapText="1"/>
    </xf>
    <xf numFmtId="164" fontId="46" fillId="20" borderId="40" xfId="0" applyFont="1" applyFill="1" applyBorder="1" applyAlignment="1">
      <alignment horizontal="center" vertical="center" wrapText="1"/>
    </xf>
    <xf numFmtId="164" fontId="46" fillId="20" borderId="42" xfId="0" applyFont="1" applyFill="1" applyBorder="1" applyAlignment="1">
      <alignment horizontal="center" vertical="center" wrapText="1"/>
    </xf>
    <xf numFmtId="164" fontId="46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2" fillId="0" borderId="0" xfId="0" applyFont="1" applyAlignment="1">
      <alignment/>
    </xf>
    <xf numFmtId="164" fontId="52" fillId="0" borderId="0" xfId="0" applyFont="1" applyAlignment="1">
      <alignment/>
    </xf>
    <xf numFmtId="164" fontId="41" fillId="6" borderId="46" xfId="0" applyFont="1" applyFill="1" applyBorder="1" applyAlignment="1">
      <alignment vertical="center"/>
    </xf>
    <xf numFmtId="171" fontId="41" fillId="20" borderId="11" xfId="0" applyNumberFormat="1" applyFont="1" applyFill="1" applyBorder="1" applyAlignment="1">
      <alignment vertical="center"/>
    </xf>
    <xf numFmtId="171" fontId="41" fillId="20" borderId="14" xfId="0" applyNumberFormat="1" applyFont="1" applyFill="1" applyBorder="1" applyAlignment="1">
      <alignment vertical="center"/>
    </xf>
    <xf numFmtId="171" fontId="41" fillId="20" borderId="15" xfId="0" applyNumberFormat="1" applyFont="1" applyFill="1" applyBorder="1" applyAlignment="1">
      <alignment vertical="center"/>
    </xf>
    <xf numFmtId="171" fontId="41" fillId="0" borderId="16" xfId="0" applyNumberFormat="1" applyFont="1" applyBorder="1" applyAlignment="1">
      <alignment vertical="center"/>
    </xf>
    <xf numFmtId="171" fontId="41" fillId="0" borderId="14" xfId="0" applyNumberFormat="1" applyFont="1" applyBorder="1" applyAlignment="1">
      <alignment vertical="center"/>
    </xf>
    <xf numFmtId="164" fontId="41" fillId="6" borderId="47" xfId="0" applyFont="1" applyFill="1" applyBorder="1" applyAlignment="1">
      <alignment vertical="center"/>
    </xf>
    <xf numFmtId="171" fontId="41" fillId="20" borderId="17" xfId="0" applyNumberFormat="1" applyFont="1" applyFill="1" applyBorder="1" applyAlignment="1">
      <alignment vertical="center"/>
    </xf>
    <xf numFmtId="171" fontId="41" fillId="20" borderId="20" xfId="0" applyNumberFormat="1" applyFont="1" applyFill="1" applyBorder="1" applyAlignment="1">
      <alignment vertical="center"/>
    </xf>
    <xf numFmtId="171" fontId="41" fillId="20" borderId="21" xfId="0" applyNumberFormat="1" applyFont="1" applyFill="1" applyBorder="1" applyAlignment="1">
      <alignment vertical="center"/>
    </xf>
    <xf numFmtId="171" fontId="41" fillId="0" borderId="22" xfId="0" applyNumberFormat="1" applyFont="1" applyBorder="1" applyAlignment="1">
      <alignment vertical="center"/>
    </xf>
    <xf numFmtId="171" fontId="41" fillId="0" borderId="20" xfId="0" applyNumberFormat="1" applyFont="1" applyBorder="1" applyAlignment="1">
      <alignment vertical="center"/>
    </xf>
    <xf numFmtId="164" fontId="53" fillId="6" borderId="47" xfId="0" applyFont="1" applyFill="1" applyBorder="1" applyAlignment="1">
      <alignment horizontal="left" vertical="center" wrapText="1"/>
    </xf>
    <xf numFmtId="171" fontId="41" fillId="20" borderId="17" xfId="0" applyNumberFormat="1" applyFont="1" applyFill="1" applyBorder="1" applyAlignment="1">
      <alignment horizontal="center" vertical="center"/>
    </xf>
    <xf numFmtId="171" fontId="41" fillId="20" borderId="20" xfId="0" applyNumberFormat="1" applyFont="1" applyFill="1" applyBorder="1" applyAlignment="1">
      <alignment horizontal="center" vertical="center"/>
    </xf>
    <xf numFmtId="164" fontId="53" fillId="6" borderId="48" xfId="0" applyFont="1" applyFill="1" applyBorder="1" applyAlignment="1">
      <alignment horizontal="left" vertical="center" wrapText="1"/>
    </xf>
    <xf numFmtId="171" fontId="41" fillId="20" borderId="40" xfId="0" applyNumberFormat="1" applyFont="1" applyFill="1" applyBorder="1" applyAlignment="1">
      <alignment horizontal="center" vertical="center"/>
    </xf>
    <xf numFmtId="171" fontId="41" fillId="20" borderId="42" xfId="0" applyNumberFormat="1" applyFont="1" applyFill="1" applyBorder="1" applyAlignment="1">
      <alignment vertical="center"/>
    </xf>
    <xf numFmtId="171" fontId="41" fillId="20" borderId="42" xfId="0" applyNumberFormat="1" applyFont="1" applyFill="1" applyBorder="1" applyAlignment="1">
      <alignment horizontal="center" vertical="center"/>
    </xf>
    <xf numFmtId="171" fontId="41" fillId="20" borderId="43" xfId="0" applyNumberFormat="1" applyFont="1" applyFill="1" applyBorder="1" applyAlignment="1">
      <alignment vertical="center"/>
    </xf>
    <xf numFmtId="171" fontId="41" fillId="0" borderId="44" xfId="0" applyNumberFormat="1" applyFont="1" applyBorder="1" applyAlignment="1">
      <alignment vertical="center"/>
    </xf>
    <xf numFmtId="171" fontId="41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9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4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5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1" fillId="0" borderId="50" xfId="0" applyFont="1" applyBorder="1" applyAlignment="1">
      <alignment/>
    </xf>
    <xf numFmtId="170" fontId="41" fillId="20" borderId="11" xfId="0" applyNumberFormat="1" applyFont="1" applyFill="1" applyBorder="1" applyAlignment="1">
      <alignment horizontal="center" vertical="center"/>
    </xf>
    <xf numFmtId="170" fontId="41" fillId="20" borderId="14" xfId="0" applyNumberFormat="1" applyFont="1" applyFill="1" applyBorder="1" applyAlignment="1">
      <alignment horizontal="center" vertical="center"/>
    </xf>
    <xf numFmtId="170" fontId="41" fillId="20" borderId="15" xfId="0" applyNumberFormat="1" applyFont="1" applyFill="1" applyBorder="1" applyAlignment="1">
      <alignment horizontal="center" vertical="center"/>
    </xf>
    <xf numFmtId="170" fontId="41" fillId="0" borderId="16" xfId="0" applyNumberFormat="1" applyFont="1" applyFill="1" applyBorder="1" applyAlignment="1">
      <alignment vertical="center"/>
    </xf>
    <xf numFmtId="170" fontId="41" fillId="0" borderId="14" xfId="0" applyNumberFormat="1" applyFont="1" applyFill="1" applyBorder="1" applyAlignment="1">
      <alignment vertical="center"/>
    </xf>
    <xf numFmtId="164" fontId="41" fillId="0" borderId="51" xfId="0" applyFont="1" applyBorder="1" applyAlignment="1">
      <alignment/>
    </xf>
    <xf numFmtId="170" fontId="41" fillId="20" borderId="40" xfId="0" applyNumberFormat="1" applyFont="1" applyFill="1" applyBorder="1" applyAlignment="1">
      <alignment horizontal="center" vertical="center"/>
    </xf>
    <xf numFmtId="170" fontId="41" fillId="20" borderId="42" xfId="0" applyNumberFormat="1" applyFont="1" applyFill="1" applyBorder="1" applyAlignment="1">
      <alignment horizontal="center" vertical="center"/>
    </xf>
    <xf numFmtId="170" fontId="41" fillId="20" borderId="43" xfId="0" applyNumberFormat="1" applyFont="1" applyFill="1" applyBorder="1" applyAlignment="1">
      <alignment horizontal="center" vertical="center"/>
    </xf>
    <xf numFmtId="170" fontId="41" fillId="0" borderId="44" xfId="0" applyNumberFormat="1" applyFont="1" applyFill="1" applyBorder="1" applyAlignment="1">
      <alignment vertical="center"/>
    </xf>
    <xf numFmtId="170" fontId="41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4" fillId="4" borderId="0" xfId="0" applyFont="1" applyFill="1" applyBorder="1" applyAlignment="1" applyProtection="1">
      <alignment horizontal="left" vertical="center"/>
      <protection locked="0"/>
    </xf>
    <xf numFmtId="164" fontId="54" fillId="0" borderId="0" xfId="0" applyFont="1" applyAlignment="1" applyProtection="1">
      <alignment vertical="center"/>
      <protection locked="0"/>
    </xf>
    <xf numFmtId="164" fontId="54" fillId="2" borderId="0" xfId="0" applyFont="1" applyFill="1" applyBorder="1" applyAlignment="1" applyProtection="1">
      <alignment horizontal="left" vertical="center"/>
      <protection locked="0"/>
    </xf>
    <xf numFmtId="164" fontId="52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7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8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2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59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9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1" fillId="20" borderId="17" xfId="99" applyNumberFormat="1" applyFont="1" applyFill="1" applyBorder="1" applyAlignment="1" applyProtection="1">
      <alignment vertical="center" shrinkToFit="1"/>
      <protection/>
    </xf>
    <xf numFmtId="168" fontId="41" fillId="20" borderId="20" xfId="99" applyNumberFormat="1" applyFont="1" applyFill="1" applyBorder="1" applyAlignment="1" applyProtection="1">
      <alignment vertical="center" shrinkToFit="1"/>
      <protection/>
    </xf>
    <xf numFmtId="168" fontId="41" fillId="20" borderId="21" xfId="99" applyNumberFormat="1" applyFont="1" applyFill="1" applyBorder="1" applyAlignment="1" applyProtection="1">
      <alignment vertical="center" shrinkToFit="1"/>
      <protection/>
    </xf>
    <xf numFmtId="168" fontId="41" fillId="2" borderId="22" xfId="99" applyNumberFormat="1" applyFont="1" applyFill="1" applyBorder="1" applyAlignment="1" applyProtection="1">
      <alignment vertical="center" shrinkToFit="1"/>
      <protection/>
    </xf>
    <xf numFmtId="168" fontId="41" fillId="2" borderId="20" xfId="99" applyNumberFormat="1" applyFont="1" applyFill="1" applyBorder="1" applyAlignment="1" applyProtection="1">
      <alignment vertical="center" shrinkToFit="1"/>
      <protection/>
    </xf>
    <xf numFmtId="168" fontId="41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1" fillId="4" borderId="21" xfId="99" applyNumberFormat="1" applyFont="1" applyFill="1" applyBorder="1" applyAlignment="1" applyProtection="1">
      <alignment vertical="center" shrinkToFit="1"/>
      <protection/>
    </xf>
    <xf numFmtId="168" fontId="41" fillId="4" borderId="22" xfId="99" applyNumberFormat="1" applyFont="1" applyFill="1" applyBorder="1" applyAlignment="1" applyProtection="1">
      <alignment vertical="center" shrinkToFit="1"/>
      <protection/>
    </xf>
    <xf numFmtId="168" fontId="41" fillId="4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60" fillId="4" borderId="22" xfId="99" applyNumberFormat="1" applyFont="1" applyFill="1" applyBorder="1" applyAlignment="1" applyProtection="1">
      <alignment horizontal="right" vertical="center" shrinkToFit="1"/>
      <protection/>
    </xf>
    <xf numFmtId="168" fontId="60" fillId="4" borderId="20" xfId="99" applyNumberFormat="1" applyFont="1" applyFill="1" applyBorder="1" applyAlignment="1" applyProtection="1">
      <alignment horizontal="right" vertical="center" shrinkToFit="1"/>
      <protection/>
    </xf>
    <xf numFmtId="168" fontId="60" fillId="4" borderId="21" xfId="99" applyNumberFormat="1" applyFont="1" applyFill="1" applyBorder="1" applyAlignment="1" applyProtection="1">
      <alignment horizontal="right"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8" fontId="40" fillId="20" borderId="17" xfId="99" applyNumberFormat="1" applyFont="1" applyFill="1" applyBorder="1" applyAlignment="1" applyProtection="1">
      <alignment horizontal="center" vertical="center" shrinkToFit="1"/>
      <protection/>
    </xf>
    <xf numFmtId="168" fontId="40" fillId="20" borderId="20" xfId="99" applyNumberFormat="1" applyFont="1" applyFill="1" applyBorder="1" applyAlignment="1" applyProtection="1">
      <alignment horizontal="center" vertical="center" shrinkToFit="1"/>
      <protection/>
    </xf>
    <xf numFmtId="168" fontId="40" fillId="20" borderId="21" xfId="99" applyNumberFormat="1" applyFont="1" applyFill="1" applyBorder="1" applyAlignment="1" applyProtection="1">
      <alignment horizontal="center" vertical="center" shrinkToFit="1"/>
      <protection/>
    </xf>
    <xf numFmtId="168" fontId="40" fillId="0" borderId="22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21" xfId="99" applyNumberFormat="1" applyFont="1" applyFill="1" applyBorder="1" applyAlignment="1" applyProtection="1">
      <alignment horizontal="center" vertical="center" shrinkToFit="1"/>
      <protection/>
    </xf>
    <xf numFmtId="169" fontId="41" fillId="20" borderId="17" xfId="99" applyNumberFormat="1" applyFont="1" applyFill="1" applyBorder="1" applyAlignment="1" applyProtection="1">
      <alignment vertical="center" shrinkToFit="1"/>
      <protection/>
    </xf>
    <xf numFmtId="169" fontId="41" fillId="20" borderId="20" xfId="99" applyNumberFormat="1" applyFont="1" applyFill="1" applyBorder="1" applyAlignment="1" applyProtection="1">
      <alignment vertical="center" shrinkToFit="1"/>
      <protection/>
    </xf>
    <xf numFmtId="169" fontId="41" fillId="4" borderId="21" xfId="99" applyNumberFormat="1" applyFont="1" applyFill="1" applyBorder="1" applyAlignment="1" applyProtection="1">
      <alignment horizontal="right" vertical="center" shrinkToFit="1"/>
      <protection/>
    </xf>
    <xf numFmtId="169" fontId="41" fillId="4" borderId="22" xfId="99" applyNumberFormat="1" applyFont="1" applyFill="1" applyBorder="1" applyAlignment="1" applyProtection="1">
      <alignment horizontal="right" vertical="center" shrinkToFit="1"/>
      <protection/>
    </xf>
    <xf numFmtId="169" fontId="41" fillId="4" borderId="20" xfId="99" applyNumberFormat="1" applyFont="1" applyFill="1" applyBorder="1" applyAlignment="1" applyProtection="1">
      <alignment horizontal="right" vertical="center" shrinkToFit="1"/>
      <protection/>
    </xf>
    <xf numFmtId="164" fontId="41" fillId="0" borderId="18" xfId="0" applyFont="1" applyFill="1" applyBorder="1" applyAlignment="1" applyProtection="1">
      <alignment horizontal="left" vertical="center" wrapText="1"/>
      <protection locked="0"/>
    </xf>
    <xf numFmtId="164" fontId="41" fillId="0" borderId="18" xfId="0" applyFont="1" applyFill="1" applyBorder="1" applyAlignment="1" applyProtection="1">
      <alignment horizontal="left" vertical="center"/>
      <protection locked="0"/>
    </xf>
    <xf numFmtId="169" fontId="41" fillId="4" borderId="17" xfId="99" applyNumberFormat="1" applyFont="1" applyFill="1" applyBorder="1" applyAlignment="1" applyProtection="1">
      <alignment horizontal="right" vertical="center" shrinkToFit="1"/>
      <protection/>
    </xf>
    <xf numFmtId="169" fontId="41" fillId="20" borderId="17" xfId="99" applyNumberFormat="1" applyFont="1" applyFill="1" applyBorder="1" applyAlignment="1" applyProtection="1">
      <alignment horizontal="center" vertical="center" shrinkToFit="1"/>
      <protection/>
    </xf>
    <xf numFmtId="169" fontId="41" fillId="20" borderId="20" xfId="99" applyNumberFormat="1" applyFont="1" applyFill="1" applyBorder="1" applyAlignment="1" applyProtection="1">
      <alignment horizontal="center" vertical="center" shrinkToFit="1"/>
      <protection/>
    </xf>
    <xf numFmtId="169" fontId="41" fillId="20" borderId="21" xfId="99" applyNumberFormat="1" applyFont="1" applyFill="1" applyBorder="1" applyAlignment="1" applyProtection="1">
      <alignment horizontal="center" vertical="center" shrinkToFit="1"/>
      <protection/>
    </xf>
    <xf numFmtId="164" fontId="41" fillId="4" borderId="22" xfId="99" applyNumberFormat="1" applyFont="1" applyFill="1" applyBorder="1" applyAlignment="1" applyProtection="1">
      <alignment horizontal="right" vertical="center" shrinkToFit="1"/>
      <protection/>
    </xf>
    <xf numFmtId="164" fontId="41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3" fillId="4" borderId="22" xfId="99" applyNumberFormat="1" applyFont="1" applyFill="1" applyBorder="1" applyAlignment="1" applyProtection="1">
      <alignment vertical="center" shrinkToFit="1"/>
      <protection/>
    </xf>
    <xf numFmtId="168" fontId="53" fillId="4" borderId="20" xfId="99" applyNumberFormat="1" applyFont="1" applyFill="1" applyBorder="1" applyAlignment="1" applyProtection="1">
      <alignment vertical="center" shrinkToFit="1"/>
      <protection/>
    </xf>
    <xf numFmtId="168" fontId="53" fillId="4" borderId="21" xfId="99" applyNumberFormat="1" applyFont="1" applyFill="1" applyBorder="1" applyAlignment="1" applyProtection="1">
      <alignment vertical="center" shrinkToFit="1"/>
      <protection/>
    </xf>
    <xf numFmtId="168" fontId="41" fillId="20" borderId="23" xfId="99" applyNumberFormat="1" applyFont="1" applyFill="1" applyBorder="1" applyAlignment="1" applyProtection="1">
      <alignment vertical="center" shrinkToFit="1"/>
      <protection/>
    </xf>
    <xf numFmtId="168" fontId="41" fillId="20" borderId="25" xfId="99" applyNumberFormat="1" applyFont="1" applyFill="1" applyBorder="1" applyAlignment="1" applyProtection="1">
      <alignment vertical="center" shrinkToFit="1"/>
      <protection/>
    </xf>
    <xf numFmtId="168" fontId="41" fillId="20" borderId="26" xfId="99" applyNumberFormat="1" applyFont="1" applyFill="1" applyBorder="1" applyAlignment="1" applyProtection="1">
      <alignment vertical="center" shrinkToFit="1"/>
      <protection/>
    </xf>
    <xf numFmtId="168" fontId="41" fillId="2" borderId="27" xfId="99" applyNumberFormat="1" applyFont="1" applyFill="1" applyBorder="1" applyAlignment="1" applyProtection="1">
      <alignment vertical="center" shrinkToFit="1"/>
      <protection/>
    </xf>
    <xf numFmtId="168" fontId="41" fillId="2" borderId="25" xfId="99" applyNumberFormat="1" applyFont="1" applyFill="1" applyBorder="1" applyAlignment="1" applyProtection="1">
      <alignment vertical="center" shrinkToFit="1"/>
      <protection/>
    </xf>
    <xf numFmtId="168" fontId="41" fillId="2" borderId="26" xfId="99" applyNumberFormat="1" applyFont="1" applyFill="1" applyBorder="1" applyAlignment="1" applyProtection="1">
      <alignment vertical="center" shrinkToFit="1"/>
      <protection/>
    </xf>
    <xf numFmtId="164" fontId="40" fillId="0" borderId="11" xfId="0" applyFont="1" applyBorder="1" applyAlignment="1">
      <alignment horizontal="left" vertical="center"/>
    </xf>
    <xf numFmtId="164" fontId="40" fillId="0" borderId="12" xfId="0" applyFont="1" applyBorder="1" applyAlignment="1" applyProtection="1">
      <alignment horizontal="left" vertical="center"/>
      <protection locked="0"/>
    </xf>
    <xf numFmtId="164" fontId="40" fillId="0" borderId="13" xfId="0" applyFont="1" applyBorder="1" applyAlignment="1">
      <alignment vertical="center" wrapText="1"/>
    </xf>
    <xf numFmtId="168" fontId="40" fillId="20" borderId="11" xfId="99" applyNumberFormat="1" applyFont="1" applyFill="1" applyBorder="1" applyAlignment="1" applyProtection="1">
      <alignment horizontal="center" vertical="center" shrinkToFit="1"/>
      <protection/>
    </xf>
    <xf numFmtId="168" fontId="40" fillId="20" borderId="14" xfId="99" applyNumberFormat="1" applyFont="1" applyFill="1" applyBorder="1" applyAlignment="1" applyProtection="1">
      <alignment horizontal="center" vertical="center" shrinkToFit="1"/>
      <protection/>
    </xf>
    <xf numFmtId="168" fontId="40" fillId="20" borderId="15" xfId="99" applyNumberFormat="1" applyFont="1" applyFill="1" applyBorder="1" applyAlignment="1" applyProtection="1">
      <alignment horizontal="center" vertical="center" shrinkToFit="1"/>
      <protection/>
    </xf>
    <xf numFmtId="168" fontId="40" fillId="0" borderId="16" xfId="99" applyNumberFormat="1" applyFont="1" applyFill="1" applyBorder="1" applyAlignment="1" applyProtection="1">
      <alignment horizontal="center" vertical="center" shrinkToFit="1"/>
      <protection/>
    </xf>
    <xf numFmtId="168" fontId="40" fillId="0" borderId="14" xfId="99" applyNumberFormat="1" applyFont="1" applyFill="1" applyBorder="1" applyAlignment="1" applyProtection="1">
      <alignment horizontal="center" vertical="center" shrinkToFit="1"/>
      <protection/>
    </xf>
    <xf numFmtId="168" fontId="40" fillId="0" borderId="15" xfId="99" applyNumberFormat="1" applyFont="1" applyFill="1" applyBorder="1" applyAlignment="1" applyProtection="1">
      <alignment horizontal="center" vertical="center" shrinkToFit="1"/>
      <protection/>
    </xf>
    <xf numFmtId="164" fontId="41" fillId="0" borderId="40" xfId="0" applyFont="1" applyBorder="1" applyAlignment="1">
      <alignment horizontal="left" vertical="center"/>
    </xf>
    <xf numFmtId="164" fontId="41" fillId="0" borderId="41" xfId="0" applyFont="1" applyBorder="1" applyAlignment="1" applyProtection="1">
      <alignment horizontal="left" vertical="center"/>
      <protection locked="0"/>
    </xf>
    <xf numFmtId="164" fontId="41" fillId="0" borderId="41" xfId="0" applyFont="1" applyBorder="1" applyAlignment="1">
      <alignment horizontal="left" vertical="center" wrapText="1" indent="1"/>
    </xf>
    <xf numFmtId="168" fontId="41" fillId="20" borderId="40" xfId="99" applyNumberFormat="1" applyFont="1" applyFill="1" applyBorder="1" applyAlignment="1" applyProtection="1">
      <alignment vertical="center" shrinkToFit="1"/>
      <protection/>
    </xf>
    <xf numFmtId="168" fontId="41" fillId="20" borderId="42" xfId="99" applyNumberFormat="1" applyFont="1" applyFill="1" applyBorder="1" applyAlignment="1" applyProtection="1">
      <alignment vertical="center" shrinkToFit="1"/>
      <protection/>
    </xf>
    <xf numFmtId="168" fontId="41" fillId="20" borderId="43" xfId="99" applyNumberFormat="1" applyFont="1" applyFill="1" applyBorder="1" applyAlignment="1" applyProtection="1">
      <alignment vertical="center" shrinkToFit="1"/>
      <protection/>
    </xf>
    <xf numFmtId="168" fontId="41" fillId="2" borderId="44" xfId="99" applyNumberFormat="1" applyFont="1" applyFill="1" applyBorder="1" applyAlignment="1" applyProtection="1">
      <alignment vertical="center" shrinkToFit="1"/>
      <protection/>
    </xf>
    <xf numFmtId="168" fontId="41" fillId="2" borderId="42" xfId="99" applyNumberFormat="1" applyFont="1" applyFill="1" applyBorder="1" applyAlignment="1" applyProtection="1">
      <alignment vertical="center" shrinkToFit="1"/>
      <protection/>
    </xf>
    <xf numFmtId="168" fontId="41" fillId="2" borderId="43" xfId="99" applyNumberFormat="1" applyFont="1" applyFill="1" applyBorder="1" applyAlignment="1" applyProtection="1">
      <alignment vertical="center" shrinkToFit="1"/>
      <protection/>
    </xf>
    <xf numFmtId="164" fontId="40" fillId="0" borderId="11" xfId="103" applyFont="1" applyBorder="1" applyAlignment="1">
      <alignment horizontal="left" vertical="center"/>
      <protection/>
    </xf>
    <xf numFmtId="164" fontId="41" fillId="0" borderId="45" xfId="0" applyFont="1" applyBorder="1" applyAlignment="1" applyProtection="1">
      <alignment horizontal="left" vertical="center"/>
      <protection locked="0"/>
    </xf>
    <xf numFmtId="164" fontId="40" fillId="0" borderId="13" xfId="103" applyFont="1" applyBorder="1" applyAlignment="1">
      <alignment vertical="center" wrapText="1"/>
      <protection/>
    </xf>
    <xf numFmtId="168" fontId="40" fillId="20" borderId="11" xfId="99" applyNumberFormat="1" applyFont="1" applyFill="1" applyBorder="1" applyAlignment="1">
      <alignment horizontal="center" vertical="center" shrinkToFit="1"/>
      <protection/>
    </xf>
    <xf numFmtId="168" fontId="40" fillId="20" borderId="14" xfId="99" applyNumberFormat="1" applyFont="1" applyFill="1" applyBorder="1" applyAlignment="1">
      <alignment horizontal="center" vertical="center" shrinkToFit="1"/>
      <protection/>
    </xf>
    <xf numFmtId="168" fontId="40" fillId="20" borderId="15" xfId="99" applyNumberFormat="1" applyFont="1" applyFill="1" applyBorder="1" applyAlignment="1">
      <alignment horizontal="center" vertical="center" shrinkToFit="1"/>
      <protection/>
    </xf>
    <xf numFmtId="168" fontId="40" fillId="0" borderId="16" xfId="99" applyNumberFormat="1" applyFont="1" applyFill="1" applyBorder="1" applyAlignment="1">
      <alignment horizontal="center" vertical="center" shrinkToFit="1"/>
      <protection/>
    </xf>
    <xf numFmtId="168" fontId="40" fillId="0" borderId="53" xfId="99" applyNumberFormat="1" applyFont="1" applyFill="1" applyBorder="1" applyAlignment="1">
      <alignment horizontal="center" vertical="center" shrinkToFit="1"/>
      <protection/>
    </xf>
    <xf numFmtId="168" fontId="41" fillId="0" borderId="54" xfId="99" applyNumberFormat="1" applyFont="1" applyFill="1" applyBorder="1" applyAlignment="1">
      <alignment vertical="center" shrinkToFit="1"/>
      <protection/>
    </xf>
    <xf numFmtId="170" fontId="41" fillId="0" borderId="54" xfId="107" applyNumberFormat="1" applyFont="1" applyFill="1" applyBorder="1" applyAlignment="1" applyProtection="1">
      <alignment vertical="center" shrinkToFit="1"/>
      <protection/>
    </xf>
    <xf numFmtId="170" fontId="41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4" fillId="0" borderId="0" xfId="0" applyFont="1" applyBorder="1" applyAlignment="1" applyProtection="1">
      <alignment vertical="center" wrapText="1"/>
      <protection/>
    </xf>
    <xf numFmtId="164" fontId="49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1" fillId="0" borderId="15" xfId="0" applyNumberFormat="1" applyFont="1" applyBorder="1" applyAlignment="1">
      <alignment vertical="center"/>
    </xf>
    <xf numFmtId="171" fontId="41" fillId="0" borderId="21" xfId="0" applyNumberFormat="1" applyFont="1" applyBorder="1" applyAlignment="1">
      <alignment vertical="center"/>
    </xf>
    <xf numFmtId="171" fontId="41" fillId="0" borderId="43" xfId="0" applyNumberFormat="1" applyFont="1" applyBorder="1" applyAlignment="1">
      <alignment vertical="center"/>
    </xf>
    <xf numFmtId="170" fontId="41" fillId="0" borderId="15" xfId="0" applyNumberFormat="1" applyFont="1" applyFill="1" applyBorder="1" applyAlignment="1">
      <alignment vertical="center"/>
    </xf>
    <xf numFmtId="170" fontId="41" fillId="0" borderId="43" xfId="0" applyNumberFormat="1" applyFont="1" applyFill="1" applyBorder="1" applyAlignment="1">
      <alignment vertical="center"/>
    </xf>
    <xf numFmtId="164" fontId="61" fillId="0" borderId="0" xfId="0" applyFont="1" applyAlignment="1">
      <alignment horizontal="center" vertical="center"/>
    </xf>
    <xf numFmtId="164" fontId="61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1" fillId="0" borderId="0" xfId="0" applyNumberFormat="1" applyFont="1" applyAlignment="1">
      <alignment vertical="center"/>
    </xf>
    <xf numFmtId="166" fontId="61" fillId="0" borderId="0" xfId="0" applyNumberFormat="1" applyFont="1" applyAlignment="1">
      <alignment vertical="center"/>
    </xf>
    <xf numFmtId="164" fontId="61" fillId="0" borderId="0" xfId="0" applyFont="1" applyAlignment="1">
      <alignment vertical="center"/>
    </xf>
    <xf numFmtId="164" fontId="61" fillId="0" borderId="0" xfId="0" applyNumberFormat="1" applyFont="1" applyAlignment="1">
      <alignment vertical="center"/>
    </xf>
    <xf numFmtId="167" fontId="61" fillId="0" borderId="0" xfId="0" applyNumberFormat="1" applyFont="1" applyAlignment="1">
      <alignment horizontal="center" vertical="center"/>
    </xf>
    <xf numFmtId="168" fontId="61" fillId="0" borderId="0" xfId="0" applyNumberFormat="1" applyFont="1" applyAlignment="1">
      <alignment vertical="center"/>
    </xf>
    <xf numFmtId="174" fontId="61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33405541"/>
        <c:axId val="32214414"/>
      </c:lineChart>
      <c:date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14414"/>
        <c:crossesAt val="0"/>
        <c:auto val="0"/>
        <c:noMultiLvlLbl val="0"/>
      </c:dateAx>
      <c:valAx>
        <c:axId val="32214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0554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32932687"/>
        <c:axId val="27958728"/>
      </c:lineChart>
      <c:date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58728"/>
        <c:crossesAt val="0"/>
        <c:auto val="0"/>
        <c:noMultiLvlLbl val="0"/>
      </c:date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3268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0301961"/>
        <c:axId val="50064466"/>
      </c:lineChart>
      <c:date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064466"/>
        <c:crossesAt val="0"/>
        <c:auto val="0"/>
        <c:noMultiLvlLbl val="0"/>
      </c:dateAx>
      <c:valAx>
        <c:axId val="50064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0196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47927011"/>
        <c:axId val="28689916"/>
      </c:lineChart>
      <c:date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89916"/>
        <c:crossesAt val="0"/>
        <c:auto val="0"/>
        <c:noMultiLvlLbl val="0"/>
      </c:dateAx>
      <c:valAx>
        <c:axId val="28689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2701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21494271"/>
        <c:axId val="59230712"/>
      </c:barChart>
      <c:date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30712"/>
        <c:crossesAt val="0"/>
        <c:auto val="0"/>
        <c:noMultiLvlLbl val="0"/>
      </c:dateAx>
      <c:valAx>
        <c:axId val="59230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9427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63314361"/>
        <c:axId val="32958338"/>
      </c:barChart>
      <c:date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58338"/>
        <c:crossesAt val="0"/>
        <c:auto val="0"/>
        <c:noMultiLvlLbl val="0"/>
      </c:dateAx>
      <c:valAx>
        <c:axId val="32958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1436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28189587"/>
        <c:axId val="52379692"/>
      </c:lineChart>
      <c:date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79692"/>
        <c:crossesAt val="0"/>
        <c:auto val="0"/>
        <c:noMultiLvlLbl val="0"/>
      </c:date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8958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1655181"/>
        <c:axId val="14896630"/>
      </c:lineChart>
      <c:date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96630"/>
        <c:crossesAt val="0"/>
        <c:auto val="0"/>
        <c:noMultiLvlLbl val="0"/>
      </c:dateAx>
      <c:valAx>
        <c:axId val="14896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518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66960807"/>
        <c:axId val="65776352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66960807"/>
        <c:axId val="65776352"/>
      </c:lineChart>
      <c:date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76352"/>
        <c:crossesAt val="0"/>
        <c:auto val="0"/>
        <c:noMultiLvlLbl val="0"/>
      </c:date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6080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5116257"/>
        <c:axId val="26284266"/>
      </c:lineChart>
      <c:date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84266"/>
        <c:crossesAt val="0"/>
        <c:auto val="0"/>
        <c:noMultiLvlLbl val="0"/>
      </c:dateAx>
      <c:valAx>
        <c:axId val="26284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1625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35231803"/>
        <c:axId val="48650772"/>
      </c:lineChart>
      <c:date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50772"/>
        <c:crossesAt val="0"/>
        <c:auto val="0"/>
        <c:noMultiLvlLbl val="0"/>
      </c:date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3180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35203765"/>
        <c:axId val="48398430"/>
      </c:lineChart>
      <c:date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98430"/>
        <c:crossesAt val="0"/>
        <c:auto val="0"/>
        <c:noMultiLvlLbl val="0"/>
      </c:date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0376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114" sqref="B1:Q114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9.2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2015</v>
      </c>
      <c r="F2" s="15">
        <f>+G2-1</f>
        <v>2016</v>
      </c>
      <c r="G2" s="15">
        <f>+H2</f>
        <v>2017</v>
      </c>
      <c r="H2" s="16">
        <f>+I2-1</f>
        <v>2017</v>
      </c>
      <c r="I2" s="17">
        <f>+DaneZrodlowe!$N$1</f>
        <v>2018</v>
      </c>
      <c r="J2" s="18">
        <f>+I2+1</f>
        <v>2019</v>
      </c>
      <c r="K2" s="18">
        <f>+J2+1</f>
        <v>2020</v>
      </c>
      <c r="L2" s="18">
        <f>+K2+1</f>
        <v>2021</v>
      </c>
      <c r="M2" s="18">
        <f>+L2+1</f>
        <v>2022</v>
      </c>
      <c r="N2" s="18">
        <f>+M2+1</f>
        <v>2023</v>
      </c>
      <c r="O2" s="18">
        <f>+N2+1</f>
        <v>2024</v>
      </c>
      <c r="P2" s="18">
        <f>+O2+1</f>
        <v>2025</v>
      </c>
      <c r="Q2" s="18">
        <f>+P2+1</f>
        <v>2026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37229518.09</f>
        <v>37229518.09</v>
      </c>
      <c r="F3" s="24">
        <f>43743152.89</f>
        <v>43743152.89</v>
      </c>
      <c r="G3" s="24">
        <f>46452958.09</f>
        <v>46452958.09</v>
      </c>
      <c r="H3" s="25">
        <f>46452958.09</f>
        <v>46452958.09</v>
      </c>
      <c r="I3" s="26">
        <f>54980344.62</f>
        <v>54980344.62</v>
      </c>
      <c r="J3" s="27">
        <f>51453993.15</f>
        <v>51453993.15</v>
      </c>
      <c r="K3" s="27">
        <f>47217916.14</f>
        <v>47217916.14</v>
      </c>
      <c r="L3" s="27">
        <f>51077629.81</f>
        <v>51077629.81</v>
      </c>
      <c r="M3" s="27">
        <f aca="true" t="shared" si="0" ref="M3:M4">49600000</f>
        <v>49600000</v>
      </c>
      <c r="N3" s="27">
        <f aca="true" t="shared" si="1" ref="N3:N4">51100000</f>
        <v>51100000</v>
      </c>
      <c r="O3" s="27">
        <f aca="true" t="shared" si="2" ref="O3:O4">52600000</f>
        <v>52600000</v>
      </c>
      <c r="P3" s="27">
        <f aca="true" t="shared" si="3" ref="P3:P4">54100000</f>
        <v>54100000</v>
      </c>
      <c r="Q3" s="27">
        <f aca="true" t="shared" si="4" ref="Q3:Q4">55600000</f>
        <v>55600000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34353903.41</f>
        <v>34353903.41</v>
      </c>
      <c r="F4" s="33">
        <f>42746711.29</f>
        <v>42746711.29</v>
      </c>
      <c r="G4" s="33">
        <f>42315174.75</f>
        <v>42315174.75</v>
      </c>
      <c r="H4" s="34">
        <f>42315174.75</f>
        <v>42315174.75</v>
      </c>
      <c r="I4" s="35">
        <f>43631493.67</f>
        <v>43631493.67</v>
      </c>
      <c r="J4" s="36">
        <f>45100000</f>
        <v>45100000</v>
      </c>
      <c r="K4" s="36">
        <f>46600000</f>
        <v>46600000</v>
      </c>
      <c r="L4" s="36">
        <f>48100000</f>
        <v>48100000</v>
      </c>
      <c r="M4" s="36">
        <f t="shared" si="0"/>
        <v>49600000</v>
      </c>
      <c r="N4" s="36">
        <f t="shared" si="1"/>
        <v>51100000</v>
      </c>
      <c r="O4" s="36">
        <f t="shared" si="2"/>
        <v>52600000</v>
      </c>
      <c r="P4" s="36">
        <f t="shared" si="3"/>
        <v>54100000</v>
      </c>
      <c r="Q4" s="36">
        <f t="shared" si="4"/>
        <v>55600000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7843520</f>
        <v>7843520</v>
      </c>
      <c r="F5" s="33">
        <f>8607750</f>
        <v>8607750</v>
      </c>
      <c r="G5" s="33">
        <f>9600000</f>
        <v>9600000</v>
      </c>
      <c r="H5" s="34">
        <f>9600000</f>
        <v>9600000</v>
      </c>
      <c r="I5" s="35">
        <f>10192000</f>
        <v>10192000</v>
      </c>
      <c r="J5" s="36">
        <f>10700000</f>
        <v>10700000</v>
      </c>
      <c r="K5" s="36">
        <f>11200000</f>
        <v>11200000</v>
      </c>
      <c r="L5" s="36">
        <f>11700000</f>
        <v>11700000</v>
      </c>
      <c r="M5" s="36">
        <f aca="true" t="shared" si="5" ref="M5:M13">0</f>
        <v>0</v>
      </c>
      <c r="N5" s="36">
        <f aca="true" t="shared" si="6" ref="N5:N13">0</f>
        <v>0</v>
      </c>
      <c r="O5" s="36">
        <f aca="true" t="shared" si="7" ref="O5:O13">0</f>
        <v>0</v>
      </c>
      <c r="P5" s="36">
        <f aca="true" t="shared" si="8" ref="P5:P13">0</f>
        <v>0</v>
      </c>
      <c r="Q5" s="36">
        <f aca="true" t="shared" si="9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103587.11</f>
        <v>103587.11</v>
      </c>
      <c r="F6" s="33">
        <f>147604.02</f>
        <v>147604.02</v>
      </c>
      <c r="G6" s="33">
        <f>140000</f>
        <v>140000</v>
      </c>
      <c r="H6" s="34">
        <f>140000</f>
        <v>140000</v>
      </c>
      <c r="I6" s="35">
        <f>150000</f>
        <v>150000</v>
      </c>
      <c r="J6" s="36">
        <f>160000</f>
        <v>160000</v>
      </c>
      <c r="K6" s="36">
        <f>170000</f>
        <v>170000</v>
      </c>
      <c r="L6" s="36">
        <f>180000</f>
        <v>180000</v>
      </c>
      <c r="M6" s="36">
        <f t="shared" si="5"/>
        <v>0</v>
      </c>
      <c r="N6" s="36">
        <f t="shared" si="6"/>
        <v>0</v>
      </c>
      <c r="O6" s="36">
        <f t="shared" si="7"/>
        <v>0</v>
      </c>
      <c r="P6" s="36">
        <f t="shared" si="8"/>
        <v>0</v>
      </c>
      <c r="Q6" s="36">
        <f t="shared" si="9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7671198.75</f>
        <v>7671198.75</v>
      </c>
      <c r="F7" s="33">
        <f>8050788.34</f>
        <v>8050788.34</v>
      </c>
      <c r="G7" s="33">
        <f>7979300.76</f>
        <v>7979300.76</v>
      </c>
      <c r="H7" s="34">
        <f>7979300.76</f>
        <v>7979300.76</v>
      </c>
      <c r="I7" s="35">
        <f>8022475</f>
        <v>8022475</v>
      </c>
      <c r="J7" s="36">
        <f>8200000</f>
        <v>8200000</v>
      </c>
      <c r="K7" s="36">
        <f>8400000</f>
        <v>8400000</v>
      </c>
      <c r="L7" s="36">
        <f>8600000</f>
        <v>8600000</v>
      </c>
      <c r="M7" s="36">
        <f t="shared" si="5"/>
        <v>0</v>
      </c>
      <c r="N7" s="36">
        <f t="shared" si="6"/>
        <v>0</v>
      </c>
      <c r="O7" s="36">
        <f t="shared" si="7"/>
        <v>0</v>
      </c>
      <c r="P7" s="36">
        <f t="shared" si="8"/>
        <v>0</v>
      </c>
      <c r="Q7" s="36">
        <f t="shared" si="9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4945027.31</f>
        <v>4945027.31</v>
      </c>
      <c r="F8" s="33">
        <f>4890294.53</f>
        <v>4890294.53</v>
      </c>
      <c r="G8" s="33">
        <f>4850000</f>
        <v>4850000</v>
      </c>
      <c r="H8" s="34">
        <f>4850000</f>
        <v>4850000</v>
      </c>
      <c r="I8" s="35">
        <f>4950000</f>
        <v>4950000</v>
      </c>
      <c r="J8" s="36">
        <f>5100000</f>
        <v>5100000</v>
      </c>
      <c r="K8" s="36">
        <f>5300000</f>
        <v>5300000</v>
      </c>
      <c r="L8" s="36">
        <f>5500000</f>
        <v>5500000</v>
      </c>
      <c r="M8" s="36">
        <f t="shared" si="5"/>
        <v>0</v>
      </c>
      <c r="N8" s="36">
        <f t="shared" si="6"/>
        <v>0</v>
      </c>
      <c r="O8" s="36">
        <f t="shared" si="7"/>
        <v>0</v>
      </c>
      <c r="P8" s="36">
        <f t="shared" si="8"/>
        <v>0</v>
      </c>
      <c r="Q8" s="36">
        <f t="shared" si="9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9112541</f>
        <v>9112541</v>
      </c>
      <c r="F9" s="33">
        <f>9129602</f>
        <v>9129602</v>
      </c>
      <c r="G9" s="33">
        <f>8611016</f>
        <v>8611016</v>
      </c>
      <c r="H9" s="34">
        <f>8611016</f>
        <v>8611016</v>
      </c>
      <c r="I9" s="35">
        <f>9468072</f>
        <v>9468072</v>
      </c>
      <c r="J9" s="36">
        <f>9500000</f>
        <v>9500000</v>
      </c>
      <c r="K9" s="36">
        <f>10000000</f>
        <v>10000000</v>
      </c>
      <c r="L9" s="36">
        <f>10500000</f>
        <v>10500000</v>
      </c>
      <c r="M9" s="36">
        <f t="shared" si="5"/>
        <v>0</v>
      </c>
      <c r="N9" s="36">
        <f t="shared" si="6"/>
        <v>0</v>
      </c>
      <c r="O9" s="36">
        <f t="shared" si="7"/>
        <v>0</v>
      </c>
      <c r="P9" s="36">
        <f t="shared" si="8"/>
        <v>0</v>
      </c>
      <c r="Q9" s="36">
        <f t="shared" si="9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6575959.99</f>
        <v>6575959.99</v>
      </c>
      <c r="F10" s="33">
        <f>14164058.91</f>
        <v>14164058.91</v>
      </c>
      <c r="G10" s="33">
        <f>13746413.99</f>
        <v>13746413.99</v>
      </c>
      <c r="H10" s="34">
        <f>13746413.99</f>
        <v>13746413.99</v>
      </c>
      <c r="I10" s="35">
        <f>14088339.67</f>
        <v>14088339.67</v>
      </c>
      <c r="J10" s="36">
        <f>14400000</f>
        <v>14400000</v>
      </c>
      <c r="K10" s="36">
        <f>14800000</f>
        <v>14800000</v>
      </c>
      <c r="L10" s="36">
        <f>15200000</f>
        <v>15200000</v>
      </c>
      <c r="M10" s="36">
        <f t="shared" si="5"/>
        <v>0</v>
      </c>
      <c r="N10" s="36">
        <f t="shared" si="6"/>
        <v>0</v>
      </c>
      <c r="O10" s="36">
        <f t="shared" si="7"/>
        <v>0</v>
      </c>
      <c r="P10" s="36">
        <f t="shared" si="8"/>
        <v>0</v>
      </c>
      <c r="Q10" s="36">
        <f t="shared" si="9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2875614.68</f>
        <v>2875614.68</v>
      </c>
      <c r="F11" s="33">
        <f>996441.6</f>
        <v>996441.6</v>
      </c>
      <c r="G11" s="33">
        <f>4137783.34</f>
        <v>4137783.34</v>
      </c>
      <c r="H11" s="34">
        <f>4137783.34</f>
        <v>4137783.34</v>
      </c>
      <c r="I11" s="35">
        <f>11348850.95</f>
        <v>11348850.95</v>
      </c>
      <c r="J11" s="36">
        <f>6353993.15</f>
        <v>6353993.15</v>
      </c>
      <c r="K11" s="36">
        <f>617916.14</f>
        <v>617916.14</v>
      </c>
      <c r="L11" s="36">
        <f>2977629.81</f>
        <v>2977629.81</v>
      </c>
      <c r="M11" s="36">
        <f t="shared" si="5"/>
        <v>0</v>
      </c>
      <c r="N11" s="36">
        <f t="shared" si="6"/>
        <v>0</v>
      </c>
      <c r="O11" s="36">
        <f t="shared" si="7"/>
        <v>0</v>
      </c>
      <c r="P11" s="36">
        <f t="shared" si="8"/>
        <v>0</v>
      </c>
      <c r="Q11" s="36">
        <f t="shared" si="9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32599.6</f>
        <v>32599.6</v>
      </c>
      <c r="F12" s="33">
        <f>49229.06</f>
        <v>49229.06</v>
      </c>
      <c r="G12" s="33">
        <f>158682</f>
        <v>158682</v>
      </c>
      <c r="H12" s="34">
        <f>158682</f>
        <v>158682</v>
      </c>
      <c r="I12" s="35">
        <f>1655000</f>
        <v>1655000</v>
      </c>
      <c r="J12" s="36">
        <f>4950000</f>
        <v>4950000</v>
      </c>
      <c r="K12" s="36">
        <f>0</f>
        <v>0</v>
      </c>
      <c r="L12" s="36">
        <f>0</f>
        <v>0</v>
      </c>
      <c r="M12" s="36">
        <f t="shared" si="5"/>
        <v>0</v>
      </c>
      <c r="N12" s="36">
        <f t="shared" si="6"/>
        <v>0</v>
      </c>
      <c r="O12" s="36">
        <f t="shared" si="7"/>
        <v>0</v>
      </c>
      <c r="P12" s="36">
        <f t="shared" si="8"/>
        <v>0</v>
      </c>
      <c r="Q12" s="36">
        <f t="shared" si="9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2838905.27</f>
        <v>2838905.27</v>
      </c>
      <c r="F13" s="33">
        <f>935466.57</f>
        <v>935466.57</v>
      </c>
      <c r="G13" s="33">
        <f>3969101.34</f>
        <v>3969101.34</v>
      </c>
      <c r="H13" s="34">
        <f>3969101.34</f>
        <v>3969101.34</v>
      </c>
      <c r="I13" s="35">
        <f>9683850.95</f>
        <v>9683850.95</v>
      </c>
      <c r="J13" s="36">
        <f>1403993.15</f>
        <v>1403993.15</v>
      </c>
      <c r="K13" s="36">
        <f>617916.14</f>
        <v>617916.14</v>
      </c>
      <c r="L13" s="36">
        <f>2977629.81</f>
        <v>2977629.81</v>
      </c>
      <c r="M13" s="36">
        <f t="shared" si="5"/>
        <v>0</v>
      </c>
      <c r="N13" s="36">
        <f t="shared" si="6"/>
        <v>0</v>
      </c>
      <c r="O13" s="36">
        <f t="shared" si="7"/>
        <v>0</v>
      </c>
      <c r="P13" s="36">
        <f t="shared" si="8"/>
        <v>0</v>
      </c>
      <c r="Q13" s="36">
        <f t="shared" si="9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39803316.09</f>
        <v>39803316.09</v>
      </c>
      <c r="F14" s="24">
        <f>42519012.06</f>
        <v>42519012.06</v>
      </c>
      <c r="G14" s="24">
        <f>47672428.09</f>
        <v>47672428.09</v>
      </c>
      <c r="H14" s="25">
        <f>47672428.09</f>
        <v>47672428.09</v>
      </c>
      <c r="I14" s="26">
        <f>55300482.3</f>
        <v>55300482.3</v>
      </c>
      <c r="J14" s="27">
        <f>49593989.15</f>
        <v>49593989.15</v>
      </c>
      <c r="K14" s="27">
        <f>45007912.14</f>
        <v>45007912.14</v>
      </c>
      <c r="L14" s="27">
        <f>48867625.81</f>
        <v>48867625.81</v>
      </c>
      <c r="M14" s="27">
        <f>47349996</f>
        <v>47349996</v>
      </c>
      <c r="N14" s="27">
        <f>48682000</f>
        <v>48682000</v>
      </c>
      <c r="O14" s="27">
        <f>51350000</f>
        <v>51350000</v>
      </c>
      <c r="P14" s="27">
        <f>53014683.21</f>
        <v>53014683.21</v>
      </c>
      <c r="Q14" s="27">
        <f>54401658.32</f>
        <v>54401658.32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31703820.82</f>
        <v>31703820.82</v>
      </c>
      <c r="F15" s="33">
        <f>39425486.37</f>
        <v>39425486.37</v>
      </c>
      <c r="G15" s="33">
        <f>40778799.3</f>
        <v>40778799.3</v>
      </c>
      <c r="H15" s="34">
        <f>40778799.3</f>
        <v>40778799.3</v>
      </c>
      <c r="I15" s="35">
        <f>40963249.17</f>
        <v>40963249.17</v>
      </c>
      <c r="J15" s="36">
        <f>41700000</f>
        <v>41700000</v>
      </c>
      <c r="K15" s="36">
        <f>42200000</f>
        <v>42200000</v>
      </c>
      <c r="L15" s="36">
        <f>42700000</f>
        <v>42700000</v>
      </c>
      <c r="M15" s="36">
        <f>43200000</f>
        <v>43200000</v>
      </c>
      <c r="N15" s="36">
        <f>43700000</f>
        <v>43700000</v>
      </c>
      <c r="O15" s="36">
        <f>44200000</f>
        <v>44200000</v>
      </c>
      <c r="P15" s="36">
        <f>44700000</f>
        <v>44700000</v>
      </c>
      <c r="Q15" s="36">
        <f>45200000</f>
        <v>45200000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0" ref="E16:E18">0</f>
        <v>0</v>
      </c>
      <c r="F16" s="33">
        <f aca="true" t="shared" si="11" ref="F16:F18">0</f>
        <v>0</v>
      </c>
      <c r="G16" s="33">
        <f>28500</f>
        <v>28500</v>
      </c>
      <c r="H16" s="34">
        <f>28500</f>
        <v>28500</v>
      </c>
      <c r="I16" s="35">
        <f>116000</f>
        <v>116000</v>
      </c>
      <c r="J16" s="36">
        <f>117000</f>
        <v>117000</v>
      </c>
      <c r="K16" s="36">
        <f>119000</f>
        <v>119000</v>
      </c>
      <c r="L16" s="36">
        <f>120000</f>
        <v>120000</v>
      </c>
      <c r="M16" s="36">
        <f>122000</f>
        <v>122000</v>
      </c>
      <c r="N16" s="36">
        <f>124000</f>
        <v>124000</v>
      </c>
      <c r="O16" s="36">
        <f>126000</f>
        <v>126000</v>
      </c>
      <c r="P16" s="36">
        <f>128000</f>
        <v>128000</v>
      </c>
      <c r="Q16" s="36">
        <f>130000</f>
        <v>130000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0"/>
        <v>0</v>
      </c>
      <c r="F17" s="33">
        <f t="shared" si="11"/>
        <v>0</v>
      </c>
      <c r="G17" s="33">
        <f aca="true" t="shared" si="12" ref="G17:G18">0</f>
        <v>0</v>
      </c>
      <c r="H17" s="34">
        <f aca="true" t="shared" si="13" ref="H17:H18">0</f>
        <v>0</v>
      </c>
      <c r="I17" s="35">
        <f aca="true" t="shared" si="14" ref="I17:I18">0</f>
        <v>0</v>
      </c>
      <c r="J17" s="36">
        <f aca="true" t="shared" si="15" ref="J17:J18">0</f>
        <v>0</v>
      </c>
      <c r="K17" s="36">
        <f aca="true" t="shared" si="16" ref="K17:K18">0</f>
        <v>0</v>
      </c>
      <c r="L17" s="36">
        <f aca="true" t="shared" si="17" ref="L17:L18">0</f>
        <v>0</v>
      </c>
      <c r="M17" s="36">
        <f aca="true" t="shared" si="18" ref="M17:M18">0</f>
        <v>0</v>
      </c>
      <c r="N17" s="36">
        <f aca="true" t="shared" si="19" ref="N17:N18">0</f>
        <v>0</v>
      </c>
      <c r="O17" s="36">
        <f aca="true" t="shared" si="20" ref="O17:O18">0</f>
        <v>0</v>
      </c>
      <c r="P17" s="36">
        <f aca="true" t="shared" si="21" ref="P17:P18">0</f>
        <v>0</v>
      </c>
      <c r="Q17" s="36">
        <f aca="true" t="shared" si="22" ref="Q17:Q18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0"/>
        <v>0</v>
      </c>
      <c r="F18" s="33">
        <f t="shared" si="11"/>
        <v>0</v>
      </c>
      <c r="G18" s="33">
        <f t="shared" si="12"/>
        <v>0</v>
      </c>
      <c r="H18" s="34">
        <f t="shared" si="13"/>
        <v>0</v>
      </c>
      <c r="I18" s="35">
        <f t="shared" si="14"/>
        <v>0</v>
      </c>
      <c r="J18" s="36">
        <f t="shared" si="15"/>
        <v>0</v>
      </c>
      <c r="K18" s="36">
        <f t="shared" si="16"/>
        <v>0</v>
      </c>
      <c r="L18" s="36">
        <f t="shared" si="17"/>
        <v>0</v>
      </c>
      <c r="M18" s="36">
        <f t="shared" si="18"/>
        <v>0</v>
      </c>
      <c r="N18" s="36">
        <f t="shared" si="19"/>
        <v>0</v>
      </c>
      <c r="O18" s="36">
        <f t="shared" si="20"/>
        <v>0</v>
      </c>
      <c r="P18" s="36">
        <f t="shared" si="21"/>
        <v>0</v>
      </c>
      <c r="Q18" s="36">
        <f t="shared" si="22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>448191.95</f>
        <v>448191.95</v>
      </c>
      <c r="F19" s="33">
        <f aca="true" t="shared" si="23" ref="F19:F20">479637.86</f>
        <v>479637.86</v>
      </c>
      <c r="G19" s="33">
        <f>463500</f>
        <v>463500</v>
      </c>
      <c r="H19" s="34">
        <f>463500</f>
        <v>463500</v>
      </c>
      <c r="I19" s="35">
        <f>435000</f>
        <v>435000</v>
      </c>
      <c r="J19" s="36">
        <f aca="true" t="shared" si="24" ref="J19:J20">400000</f>
        <v>400000</v>
      </c>
      <c r="K19" s="36">
        <f>360000</f>
        <v>360000</v>
      </c>
      <c r="L19" s="36">
        <f aca="true" t="shared" si="25" ref="L19:L20">310000</f>
        <v>310000</v>
      </c>
      <c r="M19" s="36">
        <f aca="true" t="shared" si="26" ref="M19:M20">270000</f>
        <v>270000</v>
      </c>
      <c r="N19" s="36">
        <f aca="true" t="shared" si="27" ref="N19:N20">220000</f>
        <v>220000</v>
      </c>
      <c r="O19" s="36">
        <f aca="true" t="shared" si="28" ref="O19:O20">180000</f>
        <v>180000</v>
      </c>
      <c r="P19" s="36">
        <f aca="true" t="shared" si="29" ref="P19:P20">130000</f>
        <v>130000</v>
      </c>
      <c r="Q19" s="36">
        <f aca="true" t="shared" si="30" ref="Q19:Q20">90000</f>
        <v>90000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>443191.95</f>
        <v>443191.95</v>
      </c>
      <c r="F20" s="33">
        <f t="shared" si="23"/>
        <v>479637.86</v>
      </c>
      <c r="G20" s="33">
        <f>458500</f>
        <v>458500</v>
      </c>
      <c r="H20" s="34">
        <f>458500</f>
        <v>458500</v>
      </c>
      <c r="I20" s="35">
        <f>430000</f>
        <v>430000</v>
      </c>
      <c r="J20" s="36">
        <f t="shared" si="24"/>
        <v>400000</v>
      </c>
      <c r="K20" s="36">
        <f>350000</f>
        <v>350000</v>
      </c>
      <c r="L20" s="36">
        <f t="shared" si="25"/>
        <v>310000</v>
      </c>
      <c r="M20" s="36">
        <f t="shared" si="26"/>
        <v>270000</v>
      </c>
      <c r="N20" s="36">
        <f t="shared" si="27"/>
        <v>220000</v>
      </c>
      <c r="O20" s="36">
        <f t="shared" si="28"/>
        <v>180000</v>
      </c>
      <c r="P20" s="36">
        <f t="shared" si="29"/>
        <v>130000</v>
      </c>
      <c r="Q20" s="36">
        <f t="shared" si="30"/>
        <v>90000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aca="true" t="shared" si="43" ref="Q21:Q22">0</f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43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8099495.27</f>
        <v>8099495.27</v>
      </c>
      <c r="F23" s="33">
        <f>3093525.69</f>
        <v>3093525.69</v>
      </c>
      <c r="G23" s="33">
        <f>6893628.79</f>
        <v>6893628.79</v>
      </c>
      <c r="H23" s="34">
        <f>6893628.79</f>
        <v>6893628.79</v>
      </c>
      <c r="I23" s="35">
        <f>14337233.13</f>
        <v>14337233.13</v>
      </c>
      <c r="J23" s="36">
        <f>7893989.15</f>
        <v>7893989.15</v>
      </c>
      <c r="K23" s="36">
        <f>2807912.14</f>
        <v>2807912.14</v>
      </c>
      <c r="L23" s="36">
        <f>6167625.81</f>
        <v>6167625.81</v>
      </c>
      <c r="M23" s="36">
        <f>4149996</f>
        <v>4149996</v>
      </c>
      <c r="N23" s="36">
        <f>4982000</f>
        <v>4982000</v>
      </c>
      <c r="O23" s="36">
        <f>7150000</f>
        <v>7150000</v>
      </c>
      <c r="P23" s="36">
        <f>8314683.21</f>
        <v>8314683.21</v>
      </c>
      <c r="Q23" s="36">
        <f>9201658.32</f>
        <v>9201658.32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-2573798</f>
        <v>-2573798</v>
      </c>
      <c r="F24" s="24">
        <f>1224140.83</f>
        <v>1224140.83</v>
      </c>
      <c r="G24" s="24">
        <f>-1219470</f>
        <v>-1219470</v>
      </c>
      <c r="H24" s="25">
        <f>-1219470</f>
        <v>-1219470</v>
      </c>
      <c r="I24" s="26">
        <f>-320137.68</f>
        <v>-320137.68</v>
      </c>
      <c r="J24" s="27">
        <f>1860004</f>
        <v>1860004</v>
      </c>
      <c r="K24" s="27">
        <f>2210004</f>
        <v>2210004</v>
      </c>
      <c r="L24" s="27">
        <f>2210004</f>
        <v>2210004</v>
      </c>
      <c r="M24" s="27">
        <f>2250004</f>
        <v>2250004</v>
      </c>
      <c r="N24" s="27">
        <f>2418000</f>
        <v>2418000</v>
      </c>
      <c r="O24" s="27">
        <f>1250000</f>
        <v>1250000</v>
      </c>
      <c r="P24" s="27">
        <f>1085316.79</f>
        <v>1085316.79</v>
      </c>
      <c r="Q24" s="27">
        <f>1198341.68</f>
        <v>1198341.68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5893398.38</f>
        <v>5893398.38</v>
      </c>
      <c r="F25" s="24">
        <f>2403908.38</f>
        <v>2403908.38</v>
      </c>
      <c r="G25" s="24">
        <f>2697674</f>
        <v>2697674</v>
      </c>
      <c r="H25" s="25">
        <f>2697674</f>
        <v>2697674</v>
      </c>
      <c r="I25" s="26">
        <f>1998341.68</f>
        <v>1998341.68</v>
      </c>
      <c r="J25" s="27">
        <f aca="true" t="shared" si="44" ref="J25:J33">0</f>
        <v>0</v>
      </c>
      <c r="K25" s="27">
        <f aca="true" t="shared" si="45" ref="K25:K33">0</f>
        <v>0</v>
      </c>
      <c r="L25" s="27">
        <f aca="true" t="shared" si="46" ref="L25:L33">0</f>
        <v>0</v>
      </c>
      <c r="M25" s="27">
        <f aca="true" t="shared" si="47" ref="M25:M33">0</f>
        <v>0</v>
      </c>
      <c r="N25" s="27">
        <f aca="true" t="shared" si="48" ref="N25:N33">0</f>
        <v>0</v>
      </c>
      <c r="O25" s="27">
        <f aca="true" t="shared" si="49" ref="O25:O33">0</f>
        <v>0</v>
      </c>
      <c r="P25" s="27">
        <f aca="true" t="shared" si="50" ref="P25:P33">0</f>
        <v>0</v>
      </c>
      <c r="Q25" s="27">
        <f aca="true" t="shared" si="51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2" ref="E26:E27">0</f>
        <v>0</v>
      </c>
      <c r="F26" s="33">
        <f aca="true" t="shared" si="53" ref="F26:F27">0</f>
        <v>0</v>
      </c>
      <c r="G26" s="33">
        <f aca="true" t="shared" si="54" ref="G26:G27">0</f>
        <v>0</v>
      </c>
      <c r="H26" s="34">
        <f aca="true" t="shared" si="55" ref="H26:H27">0</f>
        <v>0</v>
      </c>
      <c r="I26" s="35">
        <f aca="true" t="shared" si="56" ref="I26:I29">0</f>
        <v>0</v>
      </c>
      <c r="J26" s="36">
        <f t="shared" si="44"/>
        <v>0</v>
      </c>
      <c r="K26" s="36">
        <f t="shared" si="45"/>
        <v>0</v>
      </c>
      <c r="L26" s="36">
        <f t="shared" si="46"/>
        <v>0</v>
      </c>
      <c r="M26" s="36">
        <f t="shared" si="47"/>
        <v>0</v>
      </c>
      <c r="N26" s="36">
        <f t="shared" si="48"/>
        <v>0</v>
      </c>
      <c r="O26" s="36">
        <f t="shared" si="49"/>
        <v>0</v>
      </c>
      <c r="P26" s="36">
        <f t="shared" si="50"/>
        <v>0</v>
      </c>
      <c r="Q26" s="36">
        <f t="shared" si="51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2"/>
        <v>0</v>
      </c>
      <c r="F27" s="33">
        <f t="shared" si="53"/>
        <v>0</v>
      </c>
      <c r="G27" s="33">
        <f t="shared" si="54"/>
        <v>0</v>
      </c>
      <c r="H27" s="34">
        <f t="shared" si="55"/>
        <v>0</v>
      </c>
      <c r="I27" s="35">
        <f t="shared" si="56"/>
        <v>0</v>
      </c>
      <c r="J27" s="36">
        <f t="shared" si="44"/>
        <v>0</v>
      </c>
      <c r="K27" s="36">
        <f t="shared" si="45"/>
        <v>0</v>
      </c>
      <c r="L27" s="36">
        <f t="shared" si="46"/>
        <v>0</v>
      </c>
      <c r="M27" s="36">
        <f t="shared" si="47"/>
        <v>0</v>
      </c>
      <c r="N27" s="36">
        <f t="shared" si="48"/>
        <v>0</v>
      </c>
      <c r="O27" s="36">
        <f t="shared" si="49"/>
        <v>0</v>
      </c>
      <c r="P27" s="36">
        <f t="shared" si="50"/>
        <v>0</v>
      </c>
      <c r="Q27" s="36">
        <f t="shared" si="51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>4393398.38</f>
        <v>4393398.38</v>
      </c>
      <c r="F28" s="33">
        <f>2403908.38</f>
        <v>2403908.38</v>
      </c>
      <c r="G28" s="33">
        <f>2412357.21</f>
        <v>2412357.21</v>
      </c>
      <c r="H28" s="34">
        <f>2412357.21</f>
        <v>2412357.21</v>
      </c>
      <c r="I28" s="35">
        <f t="shared" si="56"/>
        <v>0</v>
      </c>
      <c r="J28" s="36">
        <f t="shared" si="44"/>
        <v>0</v>
      </c>
      <c r="K28" s="36">
        <f t="shared" si="45"/>
        <v>0</v>
      </c>
      <c r="L28" s="36">
        <f t="shared" si="46"/>
        <v>0</v>
      </c>
      <c r="M28" s="36">
        <f t="shared" si="47"/>
        <v>0</v>
      </c>
      <c r="N28" s="36">
        <f t="shared" si="48"/>
        <v>0</v>
      </c>
      <c r="O28" s="36">
        <f t="shared" si="49"/>
        <v>0</v>
      </c>
      <c r="P28" s="36">
        <f t="shared" si="50"/>
        <v>0</v>
      </c>
      <c r="Q28" s="36">
        <f t="shared" si="51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>2573759.75</f>
        <v>2573759.75</v>
      </c>
      <c r="F29" s="33">
        <f aca="true" t="shared" si="57" ref="F29:F33">0</f>
        <v>0</v>
      </c>
      <c r="G29" s="33">
        <f>934153.21</f>
        <v>934153.21</v>
      </c>
      <c r="H29" s="34">
        <f>934153.21</f>
        <v>934153.21</v>
      </c>
      <c r="I29" s="35">
        <f t="shared" si="56"/>
        <v>0</v>
      </c>
      <c r="J29" s="36">
        <f t="shared" si="44"/>
        <v>0</v>
      </c>
      <c r="K29" s="36">
        <f t="shared" si="45"/>
        <v>0</v>
      </c>
      <c r="L29" s="36">
        <f t="shared" si="46"/>
        <v>0</v>
      </c>
      <c r="M29" s="36">
        <f t="shared" si="47"/>
        <v>0</v>
      </c>
      <c r="N29" s="36">
        <f t="shared" si="48"/>
        <v>0</v>
      </c>
      <c r="O29" s="36">
        <f t="shared" si="49"/>
        <v>0</v>
      </c>
      <c r="P29" s="36">
        <f t="shared" si="50"/>
        <v>0</v>
      </c>
      <c r="Q29" s="36">
        <f t="shared" si="51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1500000</f>
        <v>1500000</v>
      </c>
      <c r="F30" s="33">
        <f t="shared" si="57"/>
        <v>0</v>
      </c>
      <c r="G30" s="33">
        <f aca="true" t="shared" si="58" ref="G30:G31">285316.79</f>
        <v>285316.79</v>
      </c>
      <c r="H30" s="34">
        <f aca="true" t="shared" si="59" ref="H30:H31">285316.79</f>
        <v>285316.79</v>
      </c>
      <c r="I30" s="35">
        <f>1998341.68</f>
        <v>1998341.68</v>
      </c>
      <c r="J30" s="36">
        <f t="shared" si="44"/>
        <v>0</v>
      </c>
      <c r="K30" s="36">
        <f t="shared" si="45"/>
        <v>0</v>
      </c>
      <c r="L30" s="36">
        <f t="shared" si="46"/>
        <v>0</v>
      </c>
      <c r="M30" s="36">
        <f t="shared" si="47"/>
        <v>0</v>
      </c>
      <c r="N30" s="36">
        <f t="shared" si="48"/>
        <v>0</v>
      </c>
      <c r="O30" s="36">
        <f t="shared" si="49"/>
        <v>0</v>
      </c>
      <c r="P30" s="36">
        <f t="shared" si="50"/>
        <v>0</v>
      </c>
      <c r="Q30" s="36">
        <f t="shared" si="51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t="shared" si="57"/>
        <v>0</v>
      </c>
      <c r="G31" s="33">
        <f t="shared" si="58"/>
        <v>285316.79</v>
      </c>
      <c r="H31" s="34">
        <f t="shared" si="59"/>
        <v>285316.79</v>
      </c>
      <c r="I31" s="35">
        <f>320137.68</f>
        <v>320137.68</v>
      </c>
      <c r="J31" s="36">
        <f t="shared" si="44"/>
        <v>0</v>
      </c>
      <c r="K31" s="36">
        <f t="shared" si="45"/>
        <v>0</v>
      </c>
      <c r="L31" s="36">
        <f t="shared" si="46"/>
        <v>0</v>
      </c>
      <c r="M31" s="36">
        <f t="shared" si="47"/>
        <v>0</v>
      </c>
      <c r="N31" s="36">
        <f t="shared" si="48"/>
        <v>0</v>
      </c>
      <c r="O31" s="36">
        <f t="shared" si="49"/>
        <v>0</v>
      </c>
      <c r="P31" s="36">
        <f t="shared" si="50"/>
        <v>0</v>
      </c>
      <c r="Q31" s="36">
        <f t="shared" si="51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57"/>
        <v>0</v>
      </c>
      <c r="G32" s="33">
        <f aca="true" t="shared" si="61" ref="G32:G33">0</f>
        <v>0</v>
      </c>
      <c r="H32" s="34">
        <f aca="true" t="shared" si="62" ref="H32:H33">0</f>
        <v>0</v>
      </c>
      <c r="I32" s="35">
        <f aca="true" t="shared" si="63" ref="I32:I33">0</f>
        <v>0</v>
      </c>
      <c r="J32" s="36">
        <f t="shared" si="44"/>
        <v>0</v>
      </c>
      <c r="K32" s="36">
        <f t="shared" si="45"/>
        <v>0</v>
      </c>
      <c r="L32" s="36">
        <f t="shared" si="46"/>
        <v>0</v>
      </c>
      <c r="M32" s="36">
        <f t="shared" si="47"/>
        <v>0</v>
      </c>
      <c r="N32" s="36">
        <f t="shared" si="48"/>
        <v>0</v>
      </c>
      <c r="O32" s="36">
        <f t="shared" si="49"/>
        <v>0</v>
      </c>
      <c r="P32" s="36">
        <f t="shared" si="50"/>
        <v>0</v>
      </c>
      <c r="Q32" s="36">
        <f t="shared" si="51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57"/>
        <v>0</v>
      </c>
      <c r="G33" s="33">
        <f t="shared" si="61"/>
        <v>0</v>
      </c>
      <c r="H33" s="34">
        <f t="shared" si="62"/>
        <v>0</v>
      </c>
      <c r="I33" s="35">
        <f t="shared" si="63"/>
        <v>0</v>
      </c>
      <c r="J33" s="36">
        <f t="shared" si="44"/>
        <v>0</v>
      </c>
      <c r="K33" s="36">
        <f t="shared" si="45"/>
        <v>0</v>
      </c>
      <c r="L33" s="36">
        <f t="shared" si="46"/>
        <v>0</v>
      </c>
      <c r="M33" s="36">
        <f t="shared" si="47"/>
        <v>0</v>
      </c>
      <c r="N33" s="36">
        <f t="shared" si="48"/>
        <v>0</v>
      </c>
      <c r="O33" s="36">
        <f t="shared" si="49"/>
        <v>0</v>
      </c>
      <c r="P33" s="36">
        <f t="shared" si="50"/>
        <v>0</v>
      </c>
      <c r="Q33" s="36">
        <f t="shared" si="51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915692</f>
        <v>915692</v>
      </c>
      <c r="F34" s="24">
        <f aca="true" t="shared" si="65" ref="F34:F35">1215692</f>
        <v>1215692</v>
      </c>
      <c r="G34" s="24">
        <f aca="true" t="shared" si="66" ref="G34:G35">1478204</f>
        <v>1478204</v>
      </c>
      <c r="H34" s="25">
        <f aca="true" t="shared" si="67" ref="H34:H35">1478204</f>
        <v>1478204</v>
      </c>
      <c r="I34" s="26">
        <f aca="true" t="shared" si="68" ref="I34:I35">1678204</f>
        <v>1678204</v>
      </c>
      <c r="J34" s="27">
        <f aca="true" t="shared" si="69" ref="J34:J35">1860004</f>
        <v>1860004</v>
      </c>
      <c r="K34" s="27">
        <f aca="true" t="shared" si="70" ref="K34:K35">2210004</f>
        <v>2210004</v>
      </c>
      <c r="L34" s="27">
        <f aca="true" t="shared" si="71" ref="L34:L35">2210004</f>
        <v>2210004</v>
      </c>
      <c r="M34" s="27">
        <f aca="true" t="shared" si="72" ref="M34:M35">2250004</f>
        <v>2250004</v>
      </c>
      <c r="N34" s="27">
        <f aca="true" t="shared" si="73" ref="N34:N35">2418000</f>
        <v>2418000</v>
      </c>
      <c r="O34" s="27">
        <f aca="true" t="shared" si="74" ref="O34:O35">1250000</f>
        <v>1250000</v>
      </c>
      <c r="P34" s="27">
        <f aca="true" t="shared" si="75" ref="P34:P35">1085316.79</f>
        <v>1085316.79</v>
      </c>
      <c r="Q34" s="27">
        <f aca="true" t="shared" si="76" ref="Q34:Q35">1198341.68</f>
        <v>1198341.68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915692</v>
      </c>
      <c r="F35" s="33">
        <f t="shared" si="65"/>
        <v>1215692</v>
      </c>
      <c r="G35" s="33">
        <f t="shared" si="66"/>
        <v>1478204</v>
      </c>
      <c r="H35" s="34">
        <f t="shared" si="67"/>
        <v>1478204</v>
      </c>
      <c r="I35" s="35">
        <f t="shared" si="68"/>
        <v>1678204</v>
      </c>
      <c r="J35" s="36">
        <f t="shared" si="69"/>
        <v>1860004</v>
      </c>
      <c r="K35" s="36">
        <f t="shared" si="70"/>
        <v>2210004</v>
      </c>
      <c r="L35" s="36">
        <f t="shared" si="71"/>
        <v>2210004</v>
      </c>
      <c r="M35" s="36">
        <f t="shared" si="72"/>
        <v>2250004</v>
      </c>
      <c r="N35" s="36">
        <f t="shared" si="73"/>
        <v>2418000</v>
      </c>
      <c r="O35" s="36">
        <f t="shared" si="74"/>
        <v>1250000</v>
      </c>
      <c r="P35" s="36">
        <f t="shared" si="75"/>
        <v>1085316.79</v>
      </c>
      <c r="Q35" s="36">
        <f t="shared" si="76"/>
        <v>1198341.68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16570116</f>
        <v>16570116</v>
      </c>
      <c r="F41" s="24">
        <f>15354424</f>
        <v>15354424</v>
      </c>
      <c r="G41" s="24">
        <f>14161536.79</f>
        <v>14161536.79</v>
      </c>
      <c r="H41" s="25">
        <f>14161536.79</f>
        <v>14161536.79</v>
      </c>
      <c r="I41" s="26">
        <f>14481674.47</f>
        <v>14481674.47</v>
      </c>
      <c r="J41" s="27">
        <f>12621670.47</f>
        <v>12621670.47</v>
      </c>
      <c r="K41" s="27">
        <f>10411666.47</f>
        <v>10411666.47</v>
      </c>
      <c r="L41" s="27">
        <f>8201662.47</f>
        <v>8201662.47</v>
      </c>
      <c r="M41" s="27">
        <f>5951658.47</f>
        <v>5951658.47</v>
      </c>
      <c r="N41" s="27">
        <f>3533658.47</f>
        <v>3533658.47</v>
      </c>
      <c r="O41" s="27">
        <f>2283658.47</f>
        <v>2283658.47</v>
      </c>
      <c r="P41" s="27">
        <f>1198341.68</f>
        <v>1198341.68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2650082.59</f>
        <v>2650082.59</v>
      </c>
      <c r="F44" s="33">
        <f>3321224.92</f>
        <v>3321224.92</v>
      </c>
      <c r="G44" s="33">
        <f>1536375.45</f>
        <v>1536375.45</v>
      </c>
      <c r="H44" s="34">
        <f>1536375.45</f>
        <v>1536375.45</v>
      </c>
      <c r="I44" s="35">
        <f aca="true" t="shared" si="90" ref="I44:I45">2668244.5</f>
        <v>2668244.5</v>
      </c>
      <c r="J44" s="36">
        <f aca="true" t="shared" si="91" ref="J44:J45">3400000</f>
        <v>3400000</v>
      </c>
      <c r="K44" s="36">
        <f aca="true" t="shared" si="92" ref="K44:K45">4400000</f>
        <v>4400000</v>
      </c>
      <c r="L44" s="36">
        <f aca="true" t="shared" si="93" ref="L44:L45">5400000</f>
        <v>5400000</v>
      </c>
      <c r="M44" s="36">
        <f aca="true" t="shared" si="94" ref="M44:M45">6400000</f>
        <v>6400000</v>
      </c>
      <c r="N44" s="36">
        <f aca="true" t="shared" si="95" ref="N44:N45">7400000</f>
        <v>7400000</v>
      </c>
      <c r="O44" s="36">
        <f aca="true" t="shared" si="96" ref="O44:O45">8400000</f>
        <v>8400000</v>
      </c>
      <c r="P44" s="36">
        <f aca="true" t="shared" si="97" ref="P44:P45">9400000</f>
        <v>9400000</v>
      </c>
      <c r="Q44" s="36">
        <f aca="true" t="shared" si="98" ref="Q44:Q45">10400000</f>
        <v>10400000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7043480.97</f>
        <v>7043480.97</v>
      </c>
      <c r="F45" s="33">
        <f>5725133.3</f>
        <v>5725133.3</v>
      </c>
      <c r="G45" s="33">
        <f>3948732.66</f>
        <v>3948732.66</v>
      </c>
      <c r="H45" s="34">
        <f>3948732.66</f>
        <v>3948732.66</v>
      </c>
      <c r="I45" s="35">
        <f t="shared" si="90"/>
        <v>2668244.5</v>
      </c>
      <c r="J45" s="36">
        <f t="shared" si="91"/>
        <v>3400000</v>
      </c>
      <c r="K45" s="36">
        <f t="shared" si="92"/>
        <v>4400000</v>
      </c>
      <c r="L45" s="36">
        <f t="shared" si="93"/>
        <v>5400000</v>
      </c>
      <c r="M45" s="36">
        <f t="shared" si="94"/>
        <v>6400000</v>
      </c>
      <c r="N45" s="36">
        <f t="shared" si="95"/>
        <v>7400000</v>
      </c>
      <c r="O45" s="36">
        <f t="shared" si="96"/>
        <v>8400000</v>
      </c>
      <c r="P45" s="36">
        <f t="shared" si="97"/>
        <v>9400000</v>
      </c>
      <c r="Q45" s="36">
        <f t="shared" si="98"/>
        <v>10400000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9" ref="E47:E48">0.0365</f>
        <v>0.0365</v>
      </c>
      <c r="F47" s="47">
        <f aca="true" t="shared" si="100" ref="F47:F48">0.0388</f>
        <v>0.0388</v>
      </c>
      <c r="G47" s="47">
        <f aca="true" t="shared" si="101" ref="G47:G48">0.0423</f>
        <v>0.0423</v>
      </c>
      <c r="H47" s="48">
        <f aca="true" t="shared" si="102" ref="H47:H48">0.0423</f>
        <v>0.0423</v>
      </c>
      <c r="I47" s="49">
        <f aca="true" t="shared" si="103" ref="I47:I48">0.0405</f>
        <v>0.0405</v>
      </c>
      <c r="J47" s="50">
        <f aca="true" t="shared" si="104" ref="J47:J48">0.0462</f>
        <v>0.0462</v>
      </c>
      <c r="K47" s="50">
        <f aca="true" t="shared" si="105" ref="K47:K48">0.0567</f>
        <v>0.0567</v>
      </c>
      <c r="L47" s="50">
        <f aca="true" t="shared" si="106" ref="L47:L48">0.0517</f>
        <v>0.0517</v>
      </c>
      <c r="M47" s="50">
        <f aca="true" t="shared" si="107" ref="M47:M48">0.0533</f>
        <v>0.0533</v>
      </c>
      <c r="N47" s="50">
        <f aca="true" t="shared" si="108" ref="N47:N48">0.0541</f>
        <v>0.0541</v>
      </c>
      <c r="O47" s="50">
        <f aca="true" t="shared" si="109" ref="O47:O48">0.0296</f>
        <v>0.0296</v>
      </c>
      <c r="P47" s="50">
        <f aca="true" t="shared" si="110" ref="P47:P48">0.0248</f>
        <v>0.0248</v>
      </c>
      <c r="Q47" s="50">
        <f aca="true" t="shared" si="111" ref="Q47:Q48">0.0255</f>
        <v>0.0255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9"/>
        <v>0.0365</v>
      </c>
      <c r="F48" s="47">
        <f t="shared" si="100"/>
        <v>0.0388</v>
      </c>
      <c r="G48" s="47">
        <f t="shared" si="101"/>
        <v>0.0423</v>
      </c>
      <c r="H48" s="48">
        <f t="shared" si="102"/>
        <v>0.0423</v>
      </c>
      <c r="I48" s="49">
        <f t="shared" si="103"/>
        <v>0.0405</v>
      </c>
      <c r="J48" s="50">
        <f t="shared" si="104"/>
        <v>0.0462</v>
      </c>
      <c r="K48" s="50">
        <f t="shared" si="105"/>
        <v>0.0567</v>
      </c>
      <c r="L48" s="50">
        <f t="shared" si="106"/>
        <v>0.0517</v>
      </c>
      <c r="M48" s="50">
        <f t="shared" si="107"/>
        <v>0.0533</v>
      </c>
      <c r="N48" s="50">
        <f t="shared" si="108"/>
        <v>0.0541</v>
      </c>
      <c r="O48" s="50">
        <f t="shared" si="109"/>
        <v>0.0296</v>
      </c>
      <c r="P48" s="50">
        <f t="shared" si="110"/>
        <v>0.0248</v>
      </c>
      <c r="Q48" s="50">
        <f t="shared" si="111"/>
        <v>0.0255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0.0365</f>
        <v>0.0365</v>
      </c>
      <c r="F50" s="47">
        <f>0.0388</f>
        <v>0.0388</v>
      </c>
      <c r="G50" s="47">
        <f>0.0423</f>
        <v>0.0423</v>
      </c>
      <c r="H50" s="48">
        <f>0.0423</f>
        <v>0.0423</v>
      </c>
      <c r="I50" s="49">
        <f>0.0405</f>
        <v>0.0405</v>
      </c>
      <c r="J50" s="50">
        <f>0.0462</f>
        <v>0.0462</v>
      </c>
      <c r="K50" s="50">
        <f>0.0567</f>
        <v>0.0567</v>
      </c>
      <c r="L50" s="50">
        <f>0.0517</f>
        <v>0.0517</v>
      </c>
      <c r="M50" s="50">
        <f>0.0533</f>
        <v>0.0533</v>
      </c>
      <c r="N50" s="50">
        <f>0.0541</f>
        <v>0.0541</v>
      </c>
      <c r="O50" s="50">
        <f>0.0296</f>
        <v>0.0296</v>
      </c>
      <c r="P50" s="50">
        <f>0.0248</f>
        <v>0.0248</v>
      </c>
      <c r="Q50" s="50">
        <f>0.0255</f>
        <v>0.0255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0.07205793487615884</v>
      </c>
      <c r="F51" s="47">
        <f>+IF(AND(F2&gt;=2013,F2&lt;=2018),IF(F3&lt;&gt;0,(F4+F12-F15+F18)/F3,0),IF(F3&lt;&gt;0,(F4+F12-F15)/F3,0))</f>
        <v>0.07705100701075697</v>
      </c>
      <c r="G51" s="47">
        <f>+IF(AND(G2&gt;=2013,G2&lt;=2018),IF(G3&lt;&gt;0,(G4+G12-G15+G18)/G3,0),IF(G3&lt;&gt;0,(G4+G12-G15)/G3,0))</f>
        <v>0.03648976340141621</v>
      </c>
      <c r="H51" s="48">
        <f>+IF(AND(H2&gt;=2013,H2&lt;=2018),IF(H3&lt;&gt;0,(H4+H12-H15+H18)/H3,0),IF(H3&lt;&gt;0,(H4+H12-H15)/H3,0))</f>
        <v>0.03648976340141621</v>
      </c>
      <c r="I51" s="49">
        <f>+IF(AND(I2&gt;=2013,I2&lt;=2018),IF(I3&lt;&gt;0,(I4+I12-I15+I18)/I3,0),IF(I3&lt;&gt;0,(I4+I12-I15)/I3,0))</f>
        <v>0.07863254641054668</v>
      </c>
      <c r="J51" s="50">
        <f>+IF(AND(J2&gt;=2013,J2&lt;=2018),IF(J3&lt;&gt;0,(J4+J12-J15+J18)/J3,0),IF(J3&lt;&gt;0,(J4+J12-J15)/J3,0))</f>
        <v>0.16228089383962613</v>
      </c>
      <c r="K51" s="50">
        <f>+IF(AND(K2&gt;=2013,K2&lt;=2018),IF(K3&lt;&gt;0,(K4+K12-K15+K18)/K3,0),IF(K3&lt;&gt;0,(K4+K12-K15)/K3,0))</f>
        <v>0.09318496790400713</v>
      </c>
      <c r="L51" s="50">
        <f>+IF(AND(L2&gt;=2013,L2&lt;=2018),IF(L3&lt;&gt;0,(L4+L12-L15+L18)/L3,0),IF(L3&lt;&gt;0,(L4+L12-L15)/L3,0))</f>
        <v>0.10572142873674975</v>
      </c>
      <c r="M51" s="50">
        <f>+IF(AND(M2&gt;=2013,M2&lt;=2018),IF(M3&lt;&gt;0,(M4+M12-M15+M18)/M3,0),IF(M3&lt;&gt;0,(M4+M12-M15)/M3,0))</f>
        <v>0.12903225806451613</v>
      </c>
      <c r="N51" s="50">
        <f>+IF(AND(N2&gt;=2013,N2&lt;=2018),IF(N3&lt;&gt;0,(N4+N12-N15+N18)/N3,0),IF(N3&lt;&gt;0,(N4+N12-N15)/N3,0))</f>
        <v>0.14481409001956946</v>
      </c>
      <c r="O51" s="50">
        <f>+IF(AND(O2&gt;=2013,O2&lt;=2018),IF(O3&lt;&gt;0,(O4+O12-O15+O18)/O3,0),IF(O3&lt;&gt;0,(O4+O12-O15)/O3,0))</f>
        <v>0.1596958174904943</v>
      </c>
      <c r="P51" s="50">
        <f>+IF(AND(P2&gt;=2013,P2&lt;=2018),IF(P3&lt;&gt;0,(P4+P12-P15+P18)/P3,0),IF(P3&lt;&gt;0,(P4+P12-P15)/P3,0))</f>
        <v>0.17375231053604437</v>
      </c>
      <c r="Q51" s="50">
        <f>+IF(AND(Q2&gt;=2013,Q2&lt;=2018),IF(Q3&lt;&gt;0,(Q4+Q12-Q15+Q18)/Q3,0),IF(Q3&lt;&gt;0,(Q4+Q12-Q15)/Q3,0))</f>
        <v>0.18705035971223022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 aca="true" t="shared" si="112" ref="I52:I53">0.0619</f>
        <v>0.0619</v>
      </c>
      <c r="J52" s="50">
        <f aca="true" t="shared" si="113" ref="J52:J53">0.0641</f>
        <v>0.0641</v>
      </c>
      <c r="K52" s="50">
        <f aca="true" t="shared" si="114" ref="K52:K53">0.0925</f>
        <v>0.0925</v>
      </c>
      <c r="L52" s="50">
        <f aca="true" t="shared" si="115" ref="L52:L53">0.1114</f>
        <v>0.1114</v>
      </c>
      <c r="M52" s="50">
        <f aca="true" t="shared" si="116" ref="M52:M53">0.1204</f>
        <v>0.1204</v>
      </c>
      <c r="N52" s="50">
        <f aca="true" t="shared" si="117" ref="N52:N53">0.1093</f>
        <v>0.1093</v>
      </c>
      <c r="O52" s="50">
        <f aca="true" t="shared" si="118" ref="O52:O53">0.1265</f>
        <v>0.1265</v>
      </c>
      <c r="P52" s="50">
        <f aca="true" t="shared" si="119" ref="P52:P53">0.1445</f>
        <v>0.1445</v>
      </c>
      <c r="Q52" s="50">
        <f aca="true" t="shared" si="120" ref="Q52:Q53">0.1594</f>
        <v>0.1594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 t="shared" si="112"/>
        <v>0.0619</v>
      </c>
      <c r="J53" s="50">
        <f t="shared" si="113"/>
        <v>0.0641</v>
      </c>
      <c r="K53" s="50">
        <f t="shared" si="114"/>
        <v>0.0925</v>
      </c>
      <c r="L53" s="50">
        <f t="shared" si="115"/>
        <v>0.1114</v>
      </c>
      <c r="M53" s="50">
        <f t="shared" si="116"/>
        <v>0.1204</v>
      </c>
      <c r="N53" s="50">
        <f t="shared" si="117"/>
        <v>0.1093</v>
      </c>
      <c r="O53" s="50">
        <f t="shared" si="118"/>
        <v>0.1265</v>
      </c>
      <c r="P53" s="50">
        <f t="shared" si="119"/>
        <v>0.1445</v>
      </c>
      <c r="Q53" s="50">
        <f t="shared" si="120"/>
        <v>0.1594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21" ref="E56:E57">0</f>
        <v>0</v>
      </c>
      <c r="F56" s="24">
        <f aca="true" t="shared" si="122" ref="F56:F57">0</f>
        <v>0</v>
      </c>
      <c r="G56" s="24">
        <f aca="true" t="shared" si="123" ref="G56:G57">0</f>
        <v>0</v>
      </c>
      <c r="H56" s="25">
        <f aca="true" t="shared" si="124" ref="H56:H57">0</f>
        <v>0</v>
      </c>
      <c r="I56" s="26">
        <f aca="true" t="shared" si="125" ref="I56:I57">0</f>
        <v>0</v>
      </c>
      <c r="J56" s="27">
        <f aca="true" t="shared" si="126" ref="J56:J57">1860004</f>
        <v>1860004</v>
      </c>
      <c r="K56" s="27">
        <f aca="true" t="shared" si="127" ref="K56:K57">2210004</f>
        <v>2210004</v>
      </c>
      <c r="L56" s="27">
        <f aca="true" t="shared" si="128" ref="L56:L57">2210004</f>
        <v>2210004</v>
      </c>
      <c r="M56" s="27">
        <f aca="true" t="shared" si="129" ref="M56:M57">2250004</f>
        <v>2250004</v>
      </c>
      <c r="N56" s="27">
        <f aca="true" t="shared" si="130" ref="N56:N57">2418000</f>
        <v>2418000</v>
      </c>
      <c r="O56" s="27">
        <f aca="true" t="shared" si="131" ref="O56:O57">1250000</f>
        <v>1250000</v>
      </c>
      <c r="P56" s="27">
        <f aca="true" t="shared" si="132" ref="P56:P57">1085316.79</f>
        <v>1085316.79</v>
      </c>
      <c r="Q56" s="27">
        <f aca="true" t="shared" si="133" ref="Q56:Q57">1198341.68</f>
        <v>1198341.68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21"/>
        <v>0</v>
      </c>
      <c r="F57" s="33">
        <f t="shared" si="122"/>
        <v>0</v>
      </c>
      <c r="G57" s="33">
        <f t="shared" si="123"/>
        <v>0</v>
      </c>
      <c r="H57" s="34">
        <f t="shared" si="124"/>
        <v>0</v>
      </c>
      <c r="I57" s="35">
        <f t="shared" si="125"/>
        <v>0</v>
      </c>
      <c r="J57" s="36">
        <f t="shared" si="126"/>
        <v>1860004</v>
      </c>
      <c r="K57" s="36">
        <f t="shared" si="127"/>
        <v>2210004</v>
      </c>
      <c r="L57" s="36">
        <f t="shared" si="128"/>
        <v>2210004</v>
      </c>
      <c r="M57" s="36">
        <f t="shared" si="129"/>
        <v>2250004</v>
      </c>
      <c r="N57" s="36">
        <f t="shared" si="130"/>
        <v>2418000</v>
      </c>
      <c r="O57" s="36">
        <f t="shared" si="131"/>
        <v>1250000</v>
      </c>
      <c r="P57" s="36">
        <f t="shared" si="132"/>
        <v>1085316.79</v>
      </c>
      <c r="Q57" s="36">
        <f t="shared" si="133"/>
        <v>1198341.68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13617801.27</f>
        <v>13617801.27</v>
      </c>
      <c r="F59" s="33">
        <f>14512940.37</f>
        <v>14512940.37</v>
      </c>
      <c r="G59" s="33">
        <f>15306692.9</f>
        <v>15306692.9</v>
      </c>
      <c r="H59" s="34">
        <f>15306692.9</f>
        <v>15306692.9</v>
      </c>
      <c r="I59" s="35">
        <f>16480094</f>
        <v>16480094</v>
      </c>
      <c r="J59" s="36">
        <f>17000000</f>
        <v>17000000</v>
      </c>
      <c r="K59" s="36">
        <f>17500000</f>
        <v>17500000</v>
      </c>
      <c r="L59" s="36">
        <f>18000000</f>
        <v>18000000</v>
      </c>
      <c r="M59" s="36">
        <f aca="true" t="shared" si="134" ref="M59:M66">0</f>
        <v>0</v>
      </c>
      <c r="N59" s="36">
        <f aca="true" t="shared" si="135" ref="N59:N66">0</f>
        <v>0</v>
      </c>
      <c r="O59" s="36">
        <f aca="true" t="shared" si="136" ref="O59:O66">0</f>
        <v>0</v>
      </c>
      <c r="P59" s="36">
        <f aca="true" t="shared" si="137" ref="P59:P66">0</f>
        <v>0</v>
      </c>
      <c r="Q59" s="36">
        <f aca="true" t="shared" si="138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3294936.64</f>
        <v>3294936.64</v>
      </c>
      <c r="F60" s="33">
        <f>3527244.81</f>
        <v>3527244.81</v>
      </c>
      <c r="G60" s="33">
        <f>3550700</f>
        <v>3550700</v>
      </c>
      <c r="H60" s="34">
        <f>3550700</f>
        <v>3550700</v>
      </c>
      <c r="I60" s="35">
        <f>3665576</f>
        <v>3665576</v>
      </c>
      <c r="J60" s="36">
        <f>3680000</f>
        <v>3680000</v>
      </c>
      <c r="K60" s="36">
        <f>3750000</f>
        <v>3750000</v>
      </c>
      <c r="L60" s="36">
        <f>3820000</f>
        <v>3820000</v>
      </c>
      <c r="M60" s="36">
        <f t="shared" si="134"/>
        <v>0</v>
      </c>
      <c r="N60" s="36">
        <f t="shared" si="135"/>
        <v>0</v>
      </c>
      <c r="O60" s="36">
        <f t="shared" si="136"/>
        <v>0</v>
      </c>
      <c r="P60" s="36">
        <f t="shared" si="137"/>
        <v>0</v>
      </c>
      <c r="Q60" s="36">
        <f t="shared" si="138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1134356.98</f>
        <v>1134356.98</v>
      </c>
      <c r="F61" s="33">
        <f>136459</f>
        <v>136459</v>
      </c>
      <c r="G61" s="33">
        <f>330602.39</f>
        <v>330602.39</v>
      </c>
      <c r="H61" s="34">
        <f>330602.39</f>
        <v>330602.39</v>
      </c>
      <c r="I61" s="35">
        <f>241869.97</f>
        <v>241869.97</v>
      </c>
      <c r="J61" s="36">
        <f>3785773.46</f>
        <v>3785773.46</v>
      </c>
      <c r="K61" s="36">
        <f>1142746.05</f>
        <v>1142746.05</v>
      </c>
      <c r="L61" s="36">
        <f>5902772.01</f>
        <v>5902772.01</v>
      </c>
      <c r="M61" s="36">
        <f t="shared" si="134"/>
        <v>0</v>
      </c>
      <c r="N61" s="36">
        <f t="shared" si="135"/>
        <v>0</v>
      </c>
      <c r="O61" s="36">
        <f t="shared" si="136"/>
        <v>0</v>
      </c>
      <c r="P61" s="36">
        <f t="shared" si="137"/>
        <v>0</v>
      </c>
      <c r="Q61" s="36">
        <f t="shared" si="138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1088556.98</f>
        <v>1088556.98</v>
      </c>
      <c r="F62" s="33">
        <f>13202.21</f>
        <v>13202.21</v>
      </c>
      <c r="G62" s="33">
        <f>205602.39</f>
        <v>205602.39</v>
      </c>
      <c r="H62" s="34">
        <f>205602.39</f>
        <v>205602.39</v>
      </c>
      <c r="I62" s="35">
        <f>216869.97</f>
        <v>216869.97</v>
      </c>
      <c r="J62" s="36">
        <f>115300</f>
        <v>115300</v>
      </c>
      <c r="K62" s="36">
        <f>20300</f>
        <v>20300</v>
      </c>
      <c r="L62" s="36">
        <f>30140</f>
        <v>30140</v>
      </c>
      <c r="M62" s="36">
        <f t="shared" si="134"/>
        <v>0</v>
      </c>
      <c r="N62" s="36">
        <f t="shared" si="135"/>
        <v>0</v>
      </c>
      <c r="O62" s="36">
        <f t="shared" si="136"/>
        <v>0</v>
      </c>
      <c r="P62" s="36">
        <f t="shared" si="137"/>
        <v>0</v>
      </c>
      <c r="Q62" s="36">
        <f t="shared" si="138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45800</f>
        <v>45800</v>
      </c>
      <c r="F63" s="33">
        <f>123256.79</f>
        <v>123256.79</v>
      </c>
      <c r="G63" s="33">
        <f>125000</f>
        <v>125000</v>
      </c>
      <c r="H63" s="34">
        <f>125000</f>
        <v>125000</v>
      </c>
      <c r="I63" s="35">
        <f>25000</f>
        <v>25000</v>
      </c>
      <c r="J63" s="36">
        <f>3670473.46</f>
        <v>3670473.46</v>
      </c>
      <c r="K63" s="36">
        <f>1122446.05</f>
        <v>1122446.05</v>
      </c>
      <c r="L63" s="36">
        <f>5872632.01</f>
        <v>5872632.01</v>
      </c>
      <c r="M63" s="36">
        <f t="shared" si="134"/>
        <v>0</v>
      </c>
      <c r="N63" s="36">
        <f t="shared" si="135"/>
        <v>0</v>
      </c>
      <c r="O63" s="36">
        <f t="shared" si="136"/>
        <v>0</v>
      </c>
      <c r="P63" s="36">
        <f t="shared" si="137"/>
        <v>0</v>
      </c>
      <c r="Q63" s="36">
        <f t="shared" si="138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6393745.12</f>
        <v>6393745.12</v>
      </c>
      <c r="F64" s="33">
        <f>1183192.58</f>
        <v>1183192.58</v>
      </c>
      <c r="G64" s="33">
        <f>4148462.79</f>
        <v>4148462.79</v>
      </c>
      <c r="H64" s="34">
        <f>4148462.79</f>
        <v>4148462.79</v>
      </c>
      <c r="I64" s="35">
        <f>6778558.93</f>
        <v>6778558.93</v>
      </c>
      <c r="J64" s="36">
        <f aca="true" t="shared" si="139" ref="J64:J66">0</f>
        <v>0</v>
      </c>
      <c r="K64" s="36">
        <f aca="true" t="shared" si="140" ref="K64:K66">0</f>
        <v>0</v>
      </c>
      <c r="L64" s="36">
        <f aca="true" t="shared" si="141" ref="L64:L66">0</f>
        <v>0</v>
      </c>
      <c r="M64" s="36">
        <f t="shared" si="134"/>
        <v>0</v>
      </c>
      <c r="N64" s="36">
        <f t="shared" si="135"/>
        <v>0</v>
      </c>
      <c r="O64" s="36">
        <f t="shared" si="136"/>
        <v>0</v>
      </c>
      <c r="P64" s="36">
        <f t="shared" si="137"/>
        <v>0</v>
      </c>
      <c r="Q64" s="36">
        <f t="shared" si="138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769350.15</f>
        <v>769350.15</v>
      </c>
      <c r="F65" s="33">
        <f>1290333.11</f>
        <v>1290333.11</v>
      </c>
      <c r="G65" s="33">
        <f>1919000</f>
        <v>1919000</v>
      </c>
      <c r="H65" s="34">
        <f>1919000</f>
        <v>1919000</v>
      </c>
      <c r="I65" s="35">
        <f>6228767</f>
        <v>6228767</v>
      </c>
      <c r="J65" s="36">
        <f t="shared" si="139"/>
        <v>0</v>
      </c>
      <c r="K65" s="36">
        <f t="shared" si="140"/>
        <v>0</v>
      </c>
      <c r="L65" s="36">
        <f t="shared" si="141"/>
        <v>0</v>
      </c>
      <c r="M65" s="36">
        <f t="shared" si="134"/>
        <v>0</v>
      </c>
      <c r="N65" s="36">
        <f t="shared" si="135"/>
        <v>0</v>
      </c>
      <c r="O65" s="36">
        <f t="shared" si="136"/>
        <v>0</v>
      </c>
      <c r="P65" s="36">
        <f t="shared" si="137"/>
        <v>0</v>
      </c>
      <c r="Q65" s="36">
        <f t="shared" si="138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636400</f>
        <v>636400</v>
      </c>
      <c r="F66" s="33">
        <f>70000</f>
        <v>70000</v>
      </c>
      <c r="G66" s="33">
        <f>626166</f>
        <v>626166</v>
      </c>
      <c r="H66" s="34">
        <f>626166</f>
        <v>626166</v>
      </c>
      <c r="I66" s="35">
        <f>1029907.2</f>
        <v>1029907.2</v>
      </c>
      <c r="J66" s="36">
        <f t="shared" si="139"/>
        <v>0</v>
      </c>
      <c r="K66" s="36">
        <f t="shared" si="140"/>
        <v>0</v>
      </c>
      <c r="L66" s="36">
        <f t="shared" si="141"/>
        <v>0</v>
      </c>
      <c r="M66" s="36">
        <f t="shared" si="134"/>
        <v>0</v>
      </c>
      <c r="N66" s="36">
        <f t="shared" si="135"/>
        <v>0</v>
      </c>
      <c r="O66" s="36">
        <f t="shared" si="136"/>
        <v>0</v>
      </c>
      <c r="P66" s="36">
        <f t="shared" si="137"/>
        <v>0</v>
      </c>
      <c r="Q66" s="36">
        <f t="shared" si="138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442102.38</f>
        <v>442102.38</v>
      </c>
      <c r="F68" s="33">
        <f>495546.2</f>
        <v>495546.2</v>
      </c>
      <c r="G68" s="33">
        <f aca="true" t="shared" si="142" ref="G68:G70">80146.03</f>
        <v>80146.03</v>
      </c>
      <c r="H68" s="34">
        <f aca="true" t="shared" si="143" ref="H68:H70">80146.03</f>
        <v>80146.03</v>
      </c>
      <c r="I68" s="35">
        <f aca="true" t="shared" si="144" ref="I68:I70">131258.67</f>
        <v>131258.67</v>
      </c>
      <c r="J68" s="36">
        <f aca="true" t="shared" si="145" ref="J68:J70">12240</f>
        <v>12240</v>
      </c>
      <c r="K68" s="36">
        <f aca="true" t="shared" si="146" ref="K68:K70">12240</f>
        <v>12240</v>
      </c>
      <c r="L68" s="36">
        <f aca="true" t="shared" si="147" ref="L68:L70">17680</f>
        <v>17680</v>
      </c>
      <c r="M68" s="36">
        <f aca="true" t="shared" si="148" ref="M68:M87">0</f>
        <v>0</v>
      </c>
      <c r="N68" s="36">
        <f aca="true" t="shared" si="149" ref="N68:N87">0</f>
        <v>0</v>
      </c>
      <c r="O68" s="36">
        <f aca="true" t="shared" si="150" ref="O68:O87">0</f>
        <v>0</v>
      </c>
      <c r="P68" s="36">
        <f aca="true" t="shared" si="151" ref="P68:P87">0</f>
        <v>0</v>
      </c>
      <c r="Q68" s="36">
        <f aca="true" t="shared" si="152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3" ref="E69:E70">400393.51</f>
        <v>400393.51</v>
      </c>
      <c r="F69" s="33">
        <f aca="true" t="shared" si="154" ref="F69:F70">431833.84</f>
        <v>431833.84</v>
      </c>
      <c r="G69" s="33">
        <f t="shared" si="142"/>
        <v>80146.03</v>
      </c>
      <c r="H69" s="34">
        <f t="shared" si="143"/>
        <v>80146.03</v>
      </c>
      <c r="I69" s="35">
        <f t="shared" si="144"/>
        <v>131258.67</v>
      </c>
      <c r="J69" s="36">
        <f t="shared" si="145"/>
        <v>12240</v>
      </c>
      <c r="K69" s="36">
        <f t="shared" si="146"/>
        <v>12240</v>
      </c>
      <c r="L69" s="36">
        <f t="shared" si="147"/>
        <v>17680</v>
      </c>
      <c r="M69" s="36">
        <f t="shared" si="148"/>
        <v>0</v>
      </c>
      <c r="N69" s="36">
        <f t="shared" si="149"/>
        <v>0</v>
      </c>
      <c r="O69" s="36">
        <f t="shared" si="150"/>
        <v>0</v>
      </c>
      <c r="P69" s="36">
        <f t="shared" si="151"/>
        <v>0</v>
      </c>
      <c r="Q69" s="36">
        <f t="shared" si="152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3"/>
        <v>400393.51</v>
      </c>
      <c r="F70" s="33">
        <f t="shared" si="154"/>
        <v>431833.84</v>
      </c>
      <c r="G70" s="33">
        <f t="shared" si="142"/>
        <v>80146.03</v>
      </c>
      <c r="H70" s="34">
        <f t="shared" si="143"/>
        <v>80146.03</v>
      </c>
      <c r="I70" s="35">
        <f t="shared" si="144"/>
        <v>131258.67</v>
      </c>
      <c r="J70" s="36">
        <f t="shared" si="145"/>
        <v>12240</v>
      </c>
      <c r="K70" s="36">
        <f t="shared" si="146"/>
        <v>12240</v>
      </c>
      <c r="L70" s="36">
        <f t="shared" si="147"/>
        <v>17680</v>
      </c>
      <c r="M70" s="36">
        <f t="shared" si="148"/>
        <v>0</v>
      </c>
      <c r="N70" s="36">
        <f t="shared" si="149"/>
        <v>0</v>
      </c>
      <c r="O70" s="36">
        <f t="shared" si="150"/>
        <v>0</v>
      </c>
      <c r="P70" s="36">
        <f t="shared" si="151"/>
        <v>0</v>
      </c>
      <c r="Q70" s="36">
        <f t="shared" si="152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 aca="true" t="shared" si="155" ref="E71:E73">83947.5</f>
        <v>83947.5</v>
      </c>
      <c r="F71" s="33">
        <f aca="true" t="shared" si="156" ref="F71:F73">688086.58</f>
        <v>688086.58</v>
      </c>
      <c r="G71" s="33">
        <f aca="true" t="shared" si="157" ref="G71:G73">799078.34</f>
        <v>799078.34</v>
      </c>
      <c r="H71" s="34">
        <f aca="true" t="shared" si="158" ref="H71:H73">799078.34</f>
        <v>799078.34</v>
      </c>
      <c r="I71" s="35">
        <f aca="true" t="shared" si="159" ref="I71:I73">4248465.75</f>
        <v>4248465.75</v>
      </c>
      <c r="J71" s="36">
        <f aca="true" t="shared" si="160" ref="J71:J73">1173704.15</f>
        <v>1173704.15</v>
      </c>
      <c r="K71" s="36">
        <f aca="true" t="shared" si="161" ref="K71:K73">617916.14</f>
        <v>617916.14</v>
      </c>
      <c r="L71" s="36">
        <f aca="true" t="shared" si="162" ref="L71:L73">2977629.81</f>
        <v>2977629.81</v>
      </c>
      <c r="M71" s="36">
        <f t="shared" si="148"/>
        <v>0</v>
      </c>
      <c r="N71" s="36">
        <f t="shared" si="149"/>
        <v>0</v>
      </c>
      <c r="O71" s="36">
        <f t="shared" si="150"/>
        <v>0</v>
      </c>
      <c r="P71" s="36">
        <f t="shared" si="151"/>
        <v>0</v>
      </c>
      <c r="Q71" s="36">
        <f t="shared" si="152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t="shared" si="155"/>
        <v>83947.5</v>
      </c>
      <c r="F72" s="33">
        <f t="shared" si="156"/>
        <v>688086.58</v>
      </c>
      <c r="G72" s="33">
        <f t="shared" si="157"/>
        <v>799078.34</v>
      </c>
      <c r="H72" s="34">
        <f t="shared" si="158"/>
        <v>799078.34</v>
      </c>
      <c r="I72" s="35">
        <f t="shared" si="159"/>
        <v>4248465.75</v>
      </c>
      <c r="J72" s="36">
        <f t="shared" si="160"/>
        <v>1173704.15</v>
      </c>
      <c r="K72" s="36">
        <f t="shared" si="161"/>
        <v>617916.14</v>
      </c>
      <c r="L72" s="36">
        <f t="shared" si="162"/>
        <v>2977629.81</v>
      </c>
      <c r="M72" s="36">
        <f t="shared" si="148"/>
        <v>0</v>
      </c>
      <c r="N72" s="36">
        <f t="shared" si="149"/>
        <v>0</v>
      </c>
      <c r="O72" s="36">
        <f t="shared" si="150"/>
        <v>0</v>
      </c>
      <c r="P72" s="36">
        <f t="shared" si="151"/>
        <v>0</v>
      </c>
      <c r="Q72" s="36">
        <f t="shared" si="152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55"/>
        <v>83947.5</v>
      </c>
      <c r="F73" s="33">
        <f t="shared" si="156"/>
        <v>688086.58</v>
      </c>
      <c r="G73" s="33">
        <f t="shared" si="157"/>
        <v>799078.34</v>
      </c>
      <c r="H73" s="34">
        <f t="shared" si="158"/>
        <v>799078.34</v>
      </c>
      <c r="I73" s="35">
        <f t="shared" si="159"/>
        <v>4248465.75</v>
      </c>
      <c r="J73" s="36">
        <f t="shared" si="160"/>
        <v>1173704.15</v>
      </c>
      <c r="K73" s="36">
        <f t="shared" si="161"/>
        <v>617916.14</v>
      </c>
      <c r="L73" s="36">
        <f t="shared" si="162"/>
        <v>2977629.81</v>
      </c>
      <c r="M73" s="36">
        <f t="shared" si="148"/>
        <v>0</v>
      </c>
      <c r="N73" s="36">
        <f t="shared" si="149"/>
        <v>0</v>
      </c>
      <c r="O73" s="36">
        <f t="shared" si="150"/>
        <v>0</v>
      </c>
      <c r="P73" s="36">
        <f t="shared" si="151"/>
        <v>0</v>
      </c>
      <c r="Q73" s="36">
        <f t="shared" si="152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841425.08</f>
        <v>841425.08</v>
      </c>
      <c r="F74" s="33">
        <f>13202.21</f>
        <v>13202.21</v>
      </c>
      <c r="G74" s="33">
        <f>96452.37</f>
        <v>96452.37</v>
      </c>
      <c r="H74" s="34">
        <f>96452.37</f>
        <v>96452.37</v>
      </c>
      <c r="I74" s="35">
        <f>130873.56</f>
        <v>130873.56</v>
      </c>
      <c r="J74" s="36">
        <f>20300</f>
        <v>20300</v>
      </c>
      <c r="K74" s="36">
        <f>20300</f>
        <v>20300</v>
      </c>
      <c r="L74" s="36">
        <f>30140</f>
        <v>30140</v>
      </c>
      <c r="M74" s="36">
        <f t="shared" si="148"/>
        <v>0</v>
      </c>
      <c r="N74" s="36">
        <f t="shared" si="149"/>
        <v>0</v>
      </c>
      <c r="O74" s="36">
        <f t="shared" si="150"/>
        <v>0</v>
      </c>
      <c r="P74" s="36">
        <f t="shared" si="151"/>
        <v>0</v>
      </c>
      <c r="Q74" s="36">
        <f t="shared" si="152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677483.94</f>
        <v>677483.94</v>
      </c>
      <c r="F75" s="33">
        <f>8774.97</f>
        <v>8774.97</v>
      </c>
      <c r="G75" s="33">
        <f>80146.03</f>
        <v>80146.03</v>
      </c>
      <c r="H75" s="34">
        <f>80146.03</f>
        <v>80146.03</v>
      </c>
      <c r="I75" s="35">
        <f>88679.42</f>
        <v>88679.42</v>
      </c>
      <c r="J75" s="36">
        <f>12240</f>
        <v>12240</v>
      </c>
      <c r="K75" s="36">
        <f>12240</f>
        <v>12240</v>
      </c>
      <c r="L75" s="36">
        <f>17680</f>
        <v>17680</v>
      </c>
      <c r="M75" s="36">
        <f t="shared" si="148"/>
        <v>0</v>
      </c>
      <c r="N75" s="36">
        <f t="shared" si="149"/>
        <v>0</v>
      </c>
      <c r="O75" s="36">
        <f t="shared" si="150"/>
        <v>0</v>
      </c>
      <c r="P75" s="36">
        <f t="shared" si="151"/>
        <v>0</v>
      </c>
      <c r="Q75" s="36">
        <f t="shared" si="152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841425.08</f>
        <v>841425.08</v>
      </c>
      <c r="F76" s="33">
        <f>13202.21</f>
        <v>13202.21</v>
      </c>
      <c r="G76" s="33">
        <f>96452.37</f>
        <v>96452.37</v>
      </c>
      <c r="H76" s="34">
        <f>96452.37</f>
        <v>96452.37</v>
      </c>
      <c r="I76" s="35">
        <f>130873.56</f>
        <v>130873.56</v>
      </c>
      <c r="J76" s="36">
        <f>20300</f>
        <v>20300</v>
      </c>
      <c r="K76" s="36">
        <f>20300</f>
        <v>20300</v>
      </c>
      <c r="L76" s="36">
        <f>30140</f>
        <v>30140</v>
      </c>
      <c r="M76" s="36">
        <f t="shared" si="148"/>
        <v>0</v>
      </c>
      <c r="N76" s="36">
        <f t="shared" si="149"/>
        <v>0</v>
      </c>
      <c r="O76" s="36">
        <f t="shared" si="150"/>
        <v>0</v>
      </c>
      <c r="P76" s="36">
        <f t="shared" si="151"/>
        <v>0</v>
      </c>
      <c r="Q76" s="36">
        <f t="shared" si="152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 aca="true" t="shared" si="163" ref="E77:E79">27120</f>
        <v>27120</v>
      </c>
      <c r="F77" s="33">
        <f aca="true" t="shared" si="164" ref="F77:F79">0</f>
        <v>0</v>
      </c>
      <c r="G77" s="33">
        <f>1540718.69</f>
        <v>1540718.69</v>
      </c>
      <c r="H77" s="34">
        <f>1540718.69</f>
        <v>1540718.69</v>
      </c>
      <c r="I77" s="35">
        <f>6778558.93</f>
        <v>6778558.93</v>
      </c>
      <c r="J77" s="36">
        <f>2989473.46</f>
        <v>2989473.46</v>
      </c>
      <c r="K77" s="36">
        <f>1122446.05</f>
        <v>1122446.05</v>
      </c>
      <c r="L77" s="36">
        <f>5872632.01</f>
        <v>5872632.01</v>
      </c>
      <c r="M77" s="36">
        <f t="shared" si="148"/>
        <v>0</v>
      </c>
      <c r="N77" s="36">
        <f t="shared" si="149"/>
        <v>0</v>
      </c>
      <c r="O77" s="36">
        <f t="shared" si="150"/>
        <v>0</v>
      </c>
      <c r="P77" s="36">
        <f t="shared" si="151"/>
        <v>0</v>
      </c>
      <c r="Q77" s="36">
        <f t="shared" si="152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 t="shared" si="163"/>
        <v>27120</v>
      </c>
      <c r="F78" s="33">
        <f t="shared" si="164"/>
        <v>0</v>
      </c>
      <c r="G78" s="33">
        <f>767543.08</f>
        <v>767543.08</v>
      </c>
      <c r="H78" s="34">
        <f>767543.08</f>
        <v>767543.08</v>
      </c>
      <c r="I78" s="35">
        <f>4037531.39</f>
        <v>4037531.39</v>
      </c>
      <c r="J78" s="36">
        <f>1173704.15</f>
        <v>1173704.15</v>
      </c>
      <c r="K78" s="36">
        <f>617916.14</f>
        <v>617916.14</v>
      </c>
      <c r="L78" s="36">
        <f>2977629.81</f>
        <v>2977629.81</v>
      </c>
      <c r="M78" s="36">
        <f t="shared" si="148"/>
        <v>0</v>
      </c>
      <c r="N78" s="36">
        <f t="shared" si="149"/>
        <v>0</v>
      </c>
      <c r="O78" s="36">
        <f t="shared" si="150"/>
        <v>0</v>
      </c>
      <c r="P78" s="36">
        <f t="shared" si="151"/>
        <v>0</v>
      </c>
      <c r="Q78" s="36">
        <f t="shared" si="152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 t="shared" si="163"/>
        <v>27120</v>
      </c>
      <c r="F79" s="33">
        <f t="shared" si="164"/>
        <v>0</v>
      </c>
      <c r="G79" s="33">
        <f>1540718.69</f>
        <v>1540718.69</v>
      </c>
      <c r="H79" s="34">
        <f>1540718.69</f>
        <v>1540718.69</v>
      </c>
      <c r="I79" s="35">
        <f>6778558.93</f>
        <v>6778558.93</v>
      </c>
      <c r="J79" s="36">
        <f>2989473.46</f>
        <v>2989473.46</v>
      </c>
      <c r="K79" s="36">
        <f>1122446.05</f>
        <v>1122446.05</v>
      </c>
      <c r="L79" s="36">
        <f>5872632.01</f>
        <v>5872632.01</v>
      </c>
      <c r="M79" s="36">
        <f t="shared" si="148"/>
        <v>0</v>
      </c>
      <c r="N79" s="36">
        <f t="shared" si="149"/>
        <v>0</v>
      </c>
      <c r="O79" s="36">
        <f t="shared" si="150"/>
        <v>0</v>
      </c>
      <c r="P79" s="36">
        <f t="shared" si="151"/>
        <v>0</v>
      </c>
      <c r="Q79" s="36">
        <f t="shared" si="152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5" ref="E80:E87">0</f>
        <v>0</v>
      </c>
      <c r="F80" s="33">
        <f aca="true" t="shared" si="166" ref="F80:F81">4457.24</f>
        <v>4457.24</v>
      </c>
      <c r="G80" s="33">
        <f aca="true" t="shared" si="167" ref="G80:G81">789481.95</f>
        <v>789481.95</v>
      </c>
      <c r="H80" s="34">
        <f>789491.95</f>
        <v>789491.95</v>
      </c>
      <c r="I80" s="35">
        <f aca="true" t="shared" si="168" ref="I80:I81">2783221.68</f>
        <v>2783221.68</v>
      </c>
      <c r="J80" s="36">
        <f aca="true" t="shared" si="169" ref="J80:J81">1823829.31</f>
        <v>1823829.31</v>
      </c>
      <c r="K80" s="36">
        <f aca="true" t="shared" si="170" ref="K80:K81">512589.91</f>
        <v>512589.91</v>
      </c>
      <c r="L80" s="36">
        <f aca="true" t="shared" si="171" ref="L80:L81">2907462.21</f>
        <v>2907462.21</v>
      </c>
      <c r="M80" s="36">
        <f t="shared" si="148"/>
        <v>0</v>
      </c>
      <c r="N80" s="36">
        <f t="shared" si="149"/>
        <v>0</v>
      </c>
      <c r="O80" s="36">
        <f t="shared" si="150"/>
        <v>0</v>
      </c>
      <c r="P80" s="36">
        <f t="shared" si="151"/>
        <v>0</v>
      </c>
      <c r="Q80" s="36">
        <f t="shared" si="152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5"/>
        <v>0</v>
      </c>
      <c r="F81" s="33">
        <f t="shared" si="166"/>
        <v>4457.24</v>
      </c>
      <c r="G81" s="33">
        <f t="shared" si="167"/>
        <v>789481.95</v>
      </c>
      <c r="H81" s="34">
        <f>789481.95</f>
        <v>789481.95</v>
      </c>
      <c r="I81" s="35">
        <f t="shared" si="168"/>
        <v>2783221.68</v>
      </c>
      <c r="J81" s="36">
        <f t="shared" si="169"/>
        <v>1823829.31</v>
      </c>
      <c r="K81" s="36">
        <f t="shared" si="170"/>
        <v>512589.91</v>
      </c>
      <c r="L81" s="36">
        <f t="shared" si="171"/>
        <v>2907462.21</v>
      </c>
      <c r="M81" s="36">
        <f t="shared" si="148"/>
        <v>0</v>
      </c>
      <c r="N81" s="36">
        <f t="shared" si="149"/>
        <v>0</v>
      </c>
      <c r="O81" s="36">
        <f t="shared" si="150"/>
        <v>0</v>
      </c>
      <c r="P81" s="36">
        <f t="shared" si="151"/>
        <v>0</v>
      </c>
      <c r="Q81" s="36">
        <f t="shared" si="152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5"/>
        <v>0</v>
      </c>
      <c r="F82" s="33">
        <f aca="true" t="shared" si="172" ref="F82:F87">0</f>
        <v>0</v>
      </c>
      <c r="G82" s="33">
        <f aca="true" t="shared" si="173" ref="G82:G87">0</f>
        <v>0</v>
      </c>
      <c r="H82" s="34">
        <f aca="true" t="shared" si="174" ref="H82:H87">0</f>
        <v>0</v>
      </c>
      <c r="I82" s="35">
        <f aca="true" t="shared" si="175" ref="I82:I87">0</f>
        <v>0</v>
      </c>
      <c r="J82" s="36">
        <f aca="true" t="shared" si="176" ref="J82:J87">0</f>
        <v>0</v>
      </c>
      <c r="K82" s="36">
        <f aca="true" t="shared" si="177" ref="K82:K87">0</f>
        <v>0</v>
      </c>
      <c r="L82" s="36">
        <f aca="true" t="shared" si="178" ref="L82:L87">0</f>
        <v>0</v>
      </c>
      <c r="M82" s="36">
        <f t="shared" si="148"/>
        <v>0</v>
      </c>
      <c r="N82" s="36">
        <f t="shared" si="149"/>
        <v>0</v>
      </c>
      <c r="O82" s="36">
        <f t="shared" si="150"/>
        <v>0</v>
      </c>
      <c r="P82" s="36">
        <f t="shared" si="151"/>
        <v>0</v>
      </c>
      <c r="Q82" s="36">
        <f t="shared" si="152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5"/>
        <v>0</v>
      </c>
      <c r="F83" s="33">
        <f t="shared" si="172"/>
        <v>0</v>
      </c>
      <c r="G83" s="33">
        <f t="shared" si="173"/>
        <v>0</v>
      </c>
      <c r="H83" s="34">
        <f t="shared" si="174"/>
        <v>0</v>
      </c>
      <c r="I83" s="35">
        <f t="shared" si="175"/>
        <v>0</v>
      </c>
      <c r="J83" s="36">
        <f t="shared" si="176"/>
        <v>0</v>
      </c>
      <c r="K83" s="36">
        <f t="shared" si="177"/>
        <v>0</v>
      </c>
      <c r="L83" s="36">
        <f t="shared" si="178"/>
        <v>0</v>
      </c>
      <c r="M83" s="36">
        <f t="shared" si="148"/>
        <v>0</v>
      </c>
      <c r="N83" s="36">
        <f t="shared" si="149"/>
        <v>0</v>
      </c>
      <c r="O83" s="36">
        <f t="shared" si="150"/>
        <v>0</v>
      </c>
      <c r="P83" s="36">
        <f t="shared" si="151"/>
        <v>0</v>
      </c>
      <c r="Q83" s="36">
        <f t="shared" si="152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5"/>
        <v>0</v>
      </c>
      <c r="F84" s="33">
        <f t="shared" si="172"/>
        <v>0</v>
      </c>
      <c r="G84" s="33">
        <f t="shared" si="173"/>
        <v>0</v>
      </c>
      <c r="H84" s="34">
        <f t="shared" si="174"/>
        <v>0</v>
      </c>
      <c r="I84" s="35">
        <f t="shared" si="175"/>
        <v>0</v>
      </c>
      <c r="J84" s="36">
        <f t="shared" si="176"/>
        <v>0</v>
      </c>
      <c r="K84" s="36">
        <f t="shared" si="177"/>
        <v>0</v>
      </c>
      <c r="L84" s="36">
        <f t="shared" si="178"/>
        <v>0</v>
      </c>
      <c r="M84" s="36">
        <f t="shared" si="148"/>
        <v>0</v>
      </c>
      <c r="N84" s="36">
        <f t="shared" si="149"/>
        <v>0</v>
      </c>
      <c r="O84" s="36">
        <f t="shared" si="150"/>
        <v>0</v>
      </c>
      <c r="P84" s="36">
        <f t="shared" si="151"/>
        <v>0</v>
      </c>
      <c r="Q84" s="36">
        <f t="shared" si="152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5"/>
        <v>0</v>
      </c>
      <c r="F85" s="33">
        <f t="shared" si="172"/>
        <v>0</v>
      </c>
      <c r="G85" s="33">
        <f t="shared" si="173"/>
        <v>0</v>
      </c>
      <c r="H85" s="34">
        <f t="shared" si="174"/>
        <v>0</v>
      </c>
      <c r="I85" s="35">
        <f t="shared" si="175"/>
        <v>0</v>
      </c>
      <c r="J85" s="36">
        <f t="shared" si="176"/>
        <v>0</v>
      </c>
      <c r="K85" s="36">
        <f t="shared" si="177"/>
        <v>0</v>
      </c>
      <c r="L85" s="36">
        <f t="shared" si="178"/>
        <v>0</v>
      </c>
      <c r="M85" s="36">
        <f t="shared" si="148"/>
        <v>0</v>
      </c>
      <c r="N85" s="36">
        <f t="shared" si="149"/>
        <v>0</v>
      </c>
      <c r="O85" s="36">
        <f t="shared" si="150"/>
        <v>0</v>
      </c>
      <c r="P85" s="36">
        <f t="shared" si="151"/>
        <v>0</v>
      </c>
      <c r="Q85" s="36">
        <f t="shared" si="152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5"/>
        <v>0</v>
      </c>
      <c r="F86" s="33">
        <f t="shared" si="172"/>
        <v>0</v>
      </c>
      <c r="G86" s="33">
        <f t="shared" si="173"/>
        <v>0</v>
      </c>
      <c r="H86" s="34">
        <f t="shared" si="174"/>
        <v>0</v>
      </c>
      <c r="I86" s="35">
        <f t="shared" si="175"/>
        <v>0</v>
      </c>
      <c r="J86" s="36">
        <f t="shared" si="176"/>
        <v>0</v>
      </c>
      <c r="K86" s="36">
        <f t="shared" si="177"/>
        <v>0</v>
      </c>
      <c r="L86" s="36">
        <f t="shared" si="178"/>
        <v>0</v>
      </c>
      <c r="M86" s="36">
        <f t="shared" si="148"/>
        <v>0</v>
      </c>
      <c r="N86" s="36">
        <f t="shared" si="149"/>
        <v>0</v>
      </c>
      <c r="O86" s="36">
        <f t="shared" si="150"/>
        <v>0</v>
      </c>
      <c r="P86" s="36">
        <f t="shared" si="151"/>
        <v>0</v>
      </c>
      <c r="Q86" s="36">
        <f t="shared" si="152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5"/>
        <v>0</v>
      </c>
      <c r="F87" s="33">
        <f t="shared" si="172"/>
        <v>0</v>
      </c>
      <c r="G87" s="33">
        <f t="shared" si="173"/>
        <v>0</v>
      </c>
      <c r="H87" s="34">
        <f t="shared" si="174"/>
        <v>0</v>
      </c>
      <c r="I87" s="35">
        <f t="shared" si="175"/>
        <v>0</v>
      </c>
      <c r="J87" s="36">
        <f t="shared" si="176"/>
        <v>0</v>
      </c>
      <c r="K87" s="36">
        <f t="shared" si="177"/>
        <v>0</v>
      </c>
      <c r="L87" s="36">
        <f t="shared" si="178"/>
        <v>0</v>
      </c>
      <c r="M87" s="36">
        <f t="shared" si="148"/>
        <v>0</v>
      </c>
      <c r="N87" s="36">
        <f t="shared" si="149"/>
        <v>0</v>
      </c>
      <c r="O87" s="36">
        <f t="shared" si="150"/>
        <v>0</v>
      </c>
      <c r="P87" s="36">
        <f t="shared" si="151"/>
        <v>0</v>
      </c>
      <c r="Q87" s="36">
        <f t="shared" si="152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79" ref="E89:E95">0</f>
        <v>0</v>
      </c>
      <c r="F89" s="33">
        <f aca="true" t="shared" si="180" ref="F89:F95">0</f>
        <v>0</v>
      </c>
      <c r="G89" s="33">
        <f aca="true" t="shared" si="181" ref="G89:G95">0</f>
        <v>0</v>
      </c>
      <c r="H89" s="34">
        <f aca="true" t="shared" si="182" ref="H89:H95">0</f>
        <v>0</v>
      </c>
      <c r="I89" s="35">
        <f aca="true" t="shared" si="183" ref="I89:I95">0</f>
        <v>0</v>
      </c>
      <c r="J89" s="36">
        <f aca="true" t="shared" si="184" ref="J89:J95">0</f>
        <v>0</v>
      </c>
      <c r="K89" s="36">
        <f aca="true" t="shared" si="185" ref="K89:K95">0</f>
        <v>0</v>
      </c>
      <c r="L89" s="36">
        <f aca="true" t="shared" si="186" ref="L89:L95">0</f>
        <v>0</v>
      </c>
      <c r="M89" s="36">
        <f aca="true" t="shared" si="187" ref="M89:M95">0</f>
        <v>0</v>
      </c>
      <c r="N89" s="36">
        <f aca="true" t="shared" si="188" ref="N89:N95">0</f>
        <v>0</v>
      </c>
      <c r="O89" s="36">
        <f aca="true" t="shared" si="189" ref="O89:O95">0</f>
        <v>0</v>
      </c>
      <c r="P89" s="36">
        <f aca="true" t="shared" si="190" ref="P89:P95">0</f>
        <v>0</v>
      </c>
      <c r="Q89" s="36">
        <f aca="true" t="shared" si="191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79"/>
        <v>0</v>
      </c>
      <c r="F90" s="33">
        <f t="shared" si="180"/>
        <v>0</v>
      </c>
      <c r="G90" s="33">
        <f t="shared" si="181"/>
        <v>0</v>
      </c>
      <c r="H90" s="34">
        <f t="shared" si="182"/>
        <v>0</v>
      </c>
      <c r="I90" s="35">
        <f t="shared" si="183"/>
        <v>0</v>
      </c>
      <c r="J90" s="36">
        <f t="shared" si="184"/>
        <v>0</v>
      </c>
      <c r="K90" s="36">
        <f t="shared" si="185"/>
        <v>0</v>
      </c>
      <c r="L90" s="36">
        <f t="shared" si="186"/>
        <v>0</v>
      </c>
      <c r="M90" s="36">
        <f t="shared" si="187"/>
        <v>0</v>
      </c>
      <c r="N90" s="36">
        <f t="shared" si="188"/>
        <v>0</v>
      </c>
      <c r="O90" s="36">
        <f t="shared" si="189"/>
        <v>0</v>
      </c>
      <c r="P90" s="36">
        <f t="shared" si="190"/>
        <v>0</v>
      </c>
      <c r="Q90" s="36">
        <f t="shared" si="191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79"/>
        <v>0</v>
      </c>
      <c r="F91" s="33">
        <f t="shared" si="180"/>
        <v>0</v>
      </c>
      <c r="G91" s="33">
        <f t="shared" si="181"/>
        <v>0</v>
      </c>
      <c r="H91" s="34">
        <f t="shared" si="182"/>
        <v>0</v>
      </c>
      <c r="I91" s="35">
        <f t="shared" si="183"/>
        <v>0</v>
      </c>
      <c r="J91" s="36">
        <f t="shared" si="184"/>
        <v>0</v>
      </c>
      <c r="K91" s="36">
        <f t="shared" si="185"/>
        <v>0</v>
      </c>
      <c r="L91" s="36">
        <f t="shared" si="186"/>
        <v>0</v>
      </c>
      <c r="M91" s="36">
        <f t="shared" si="187"/>
        <v>0</v>
      </c>
      <c r="N91" s="36">
        <f t="shared" si="188"/>
        <v>0</v>
      </c>
      <c r="O91" s="36">
        <f t="shared" si="189"/>
        <v>0</v>
      </c>
      <c r="P91" s="36">
        <f t="shared" si="190"/>
        <v>0</v>
      </c>
      <c r="Q91" s="36">
        <f t="shared" si="191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79"/>
        <v>0</v>
      </c>
      <c r="F92" s="33">
        <f t="shared" si="180"/>
        <v>0</v>
      </c>
      <c r="G92" s="33">
        <f t="shared" si="181"/>
        <v>0</v>
      </c>
      <c r="H92" s="34">
        <f t="shared" si="182"/>
        <v>0</v>
      </c>
      <c r="I92" s="35">
        <f t="shared" si="183"/>
        <v>0</v>
      </c>
      <c r="J92" s="36">
        <f t="shared" si="184"/>
        <v>0</v>
      </c>
      <c r="K92" s="36">
        <f t="shared" si="185"/>
        <v>0</v>
      </c>
      <c r="L92" s="36">
        <f t="shared" si="186"/>
        <v>0</v>
      </c>
      <c r="M92" s="36">
        <f t="shared" si="187"/>
        <v>0</v>
      </c>
      <c r="N92" s="36">
        <f t="shared" si="188"/>
        <v>0</v>
      </c>
      <c r="O92" s="36">
        <f t="shared" si="189"/>
        <v>0</v>
      </c>
      <c r="P92" s="36">
        <f t="shared" si="190"/>
        <v>0</v>
      </c>
      <c r="Q92" s="36">
        <f t="shared" si="191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79"/>
        <v>0</v>
      </c>
      <c r="F93" s="33">
        <f t="shared" si="180"/>
        <v>0</v>
      </c>
      <c r="G93" s="33">
        <f t="shared" si="181"/>
        <v>0</v>
      </c>
      <c r="H93" s="34">
        <f t="shared" si="182"/>
        <v>0</v>
      </c>
      <c r="I93" s="35">
        <f t="shared" si="183"/>
        <v>0</v>
      </c>
      <c r="J93" s="36">
        <f t="shared" si="184"/>
        <v>0</v>
      </c>
      <c r="K93" s="36">
        <f t="shared" si="185"/>
        <v>0</v>
      </c>
      <c r="L93" s="36">
        <f t="shared" si="186"/>
        <v>0</v>
      </c>
      <c r="M93" s="36">
        <f t="shared" si="187"/>
        <v>0</v>
      </c>
      <c r="N93" s="36">
        <f t="shared" si="188"/>
        <v>0</v>
      </c>
      <c r="O93" s="36">
        <f t="shared" si="189"/>
        <v>0</v>
      </c>
      <c r="P93" s="36">
        <f t="shared" si="190"/>
        <v>0</v>
      </c>
      <c r="Q93" s="36">
        <f t="shared" si="191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79"/>
        <v>0</v>
      </c>
      <c r="F94" s="33">
        <f t="shared" si="180"/>
        <v>0</v>
      </c>
      <c r="G94" s="33">
        <f t="shared" si="181"/>
        <v>0</v>
      </c>
      <c r="H94" s="34">
        <f t="shared" si="182"/>
        <v>0</v>
      </c>
      <c r="I94" s="35">
        <f t="shared" si="183"/>
        <v>0</v>
      </c>
      <c r="J94" s="36">
        <f t="shared" si="184"/>
        <v>0</v>
      </c>
      <c r="K94" s="36">
        <f t="shared" si="185"/>
        <v>0</v>
      </c>
      <c r="L94" s="36">
        <f t="shared" si="186"/>
        <v>0</v>
      </c>
      <c r="M94" s="36">
        <f t="shared" si="187"/>
        <v>0</v>
      </c>
      <c r="N94" s="36">
        <f t="shared" si="188"/>
        <v>0</v>
      </c>
      <c r="O94" s="36">
        <f t="shared" si="189"/>
        <v>0</v>
      </c>
      <c r="P94" s="36">
        <f t="shared" si="190"/>
        <v>0</v>
      </c>
      <c r="Q94" s="36">
        <f t="shared" si="191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79"/>
        <v>0</v>
      </c>
      <c r="F95" s="33">
        <f t="shared" si="180"/>
        <v>0</v>
      </c>
      <c r="G95" s="33">
        <f t="shared" si="181"/>
        <v>0</v>
      </c>
      <c r="H95" s="34">
        <f t="shared" si="182"/>
        <v>0</v>
      </c>
      <c r="I95" s="35">
        <f t="shared" si="183"/>
        <v>0</v>
      </c>
      <c r="J95" s="36">
        <f t="shared" si="184"/>
        <v>0</v>
      </c>
      <c r="K95" s="36">
        <f t="shared" si="185"/>
        <v>0</v>
      </c>
      <c r="L95" s="36">
        <f t="shared" si="186"/>
        <v>0</v>
      </c>
      <c r="M95" s="36">
        <f t="shared" si="187"/>
        <v>0</v>
      </c>
      <c r="N95" s="36">
        <f t="shared" si="188"/>
        <v>0</v>
      </c>
      <c r="O95" s="36">
        <f t="shared" si="189"/>
        <v>0</v>
      </c>
      <c r="P95" s="36">
        <f t="shared" si="190"/>
        <v>0</v>
      </c>
      <c r="Q95" s="36">
        <f t="shared" si="191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915692</f>
        <v>915692</v>
      </c>
      <c r="F97" s="33">
        <f>1215692</f>
        <v>1215692</v>
      </c>
      <c r="G97" s="33">
        <f aca="true" t="shared" si="192" ref="G97:G103">0</f>
        <v>0</v>
      </c>
      <c r="H97" s="34">
        <f aca="true" t="shared" si="193" ref="H97:H103">0</f>
        <v>0</v>
      </c>
      <c r="I97" s="35">
        <f>1678204</f>
        <v>1678204</v>
      </c>
      <c r="J97" s="36">
        <f>1860004</f>
        <v>1860004</v>
      </c>
      <c r="K97" s="36">
        <f>2210004</f>
        <v>2210004</v>
      </c>
      <c r="L97" s="36">
        <f>2210004</f>
        <v>2210004</v>
      </c>
      <c r="M97" s="36">
        <f>2250004</f>
        <v>2250004</v>
      </c>
      <c r="N97" s="36">
        <f>2418000</f>
        <v>2418000</v>
      </c>
      <c r="O97" s="36">
        <f>1250000</f>
        <v>1250000</v>
      </c>
      <c r="P97" s="36">
        <f aca="true" t="shared" si="194" ref="P97:P103">0</f>
        <v>0</v>
      </c>
      <c r="Q97" s="36">
        <f aca="true" t="shared" si="195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6" ref="E98:E103">0</f>
        <v>0</v>
      </c>
      <c r="F98" s="33">
        <f aca="true" t="shared" si="197" ref="F98:F103">0</f>
        <v>0</v>
      </c>
      <c r="G98" s="33">
        <f t="shared" si="192"/>
        <v>0</v>
      </c>
      <c r="H98" s="34">
        <f t="shared" si="193"/>
        <v>0</v>
      </c>
      <c r="I98" s="35">
        <f aca="true" t="shared" si="198" ref="I98:I103">0</f>
        <v>0</v>
      </c>
      <c r="J98" s="36">
        <f aca="true" t="shared" si="199" ref="J98:J103">0</f>
        <v>0</v>
      </c>
      <c r="K98" s="36">
        <f aca="true" t="shared" si="200" ref="K98:K103">0</f>
        <v>0</v>
      </c>
      <c r="L98" s="36">
        <f aca="true" t="shared" si="201" ref="L98:L103">0</f>
        <v>0</v>
      </c>
      <c r="M98" s="36">
        <f aca="true" t="shared" si="202" ref="M98:M103">0</f>
        <v>0</v>
      </c>
      <c r="N98" s="36">
        <f aca="true" t="shared" si="203" ref="N98:N103">0</f>
        <v>0</v>
      </c>
      <c r="O98" s="36">
        <f aca="true" t="shared" si="204" ref="O98:O103">0</f>
        <v>0</v>
      </c>
      <c r="P98" s="36">
        <f t="shared" si="194"/>
        <v>0</v>
      </c>
      <c r="Q98" s="36">
        <f t="shared" si="195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6"/>
        <v>0</v>
      </c>
      <c r="F99" s="33">
        <f t="shared" si="197"/>
        <v>0</v>
      </c>
      <c r="G99" s="33">
        <f t="shared" si="192"/>
        <v>0</v>
      </c>
      <c r="H99" s="34">
        <f t="shared" si="193"/>
        <v>0</v>
      </c>
      <c r="I99" s="35">
        <f t="shared" si="198"/>
        <v>0</v>
      </c>
      <c r="J99" s="36">
        <f t="shared" si="199"/>
        <v>0</v>
      </c>
      <c r="K99" s="36">
        <f t="shared" si="200"/>
        <v>0</v>
      </c>
      <c r="L99" s="36">
        <f t="shared" si="201"/>
        <v>0</v>
      </c>
      <c r="M99" s="36">
        <f t="shared" si="202"/>
        <v>0</v>
      </c>
      <c r="N99" s="36">
        <f t="shared" si="203"/>
        <v>0</v>
      </c>
      <c r="O99" s="36">
        <f t="shared" si="204"/>
        <v>0</v>
      </c>
      <c r="P99" s="36">
        <f t="shared" si="194"/>
        <v>0</v>
      </c>
      <c r="Q99" s="36">
        <f t="shared" si="195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6"/>
        <v>0</v>
      </c>
      <c r="F100" s="33">
        <f t="shared" si="197"/>
        <v>0</v>
      </c>
      <c r="G100" s="33">
        <f t="shared" si="192"/>
        <v>0</v>
      </c>
      <c r="H100" s="34">
        <f t="shared" si="193"/>
        <v>0</v>
      </c>
      <c r="I100" s="35">
        <f t="shared" si="198"/>
        <v>0</v>
      </c>
      <c r="J100" s="36">
        <f t="shared" si="199"/>
        <v>0</v>
      </c>
      <c r="K100" s="36">
        <f t="shared" si="200"/>
        <v>0</v>
      </c>
      <c r="L100" s="36">
        <f t="shared" si="201"/>
        <v>0</v>
      </c>
      <c r="M100" s="36">
        <f t="shared" si="202"/>
        <v>0</v>
      </c>
      <c r="N100" s="36">
        <f t="shared" si="203"/>
        <v>0</v>
      </c>
      <c r="O100" s="36">
        <f t="shared" si="204"/>
        <v>0</v>
      </c>
      <c r="P100" s="36">
        <f t="shared" si="194"/>
        <v>0</v>
      </c>
      <c r="Q100" s="36">
        <f t="shared" si="195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6"/>
        <v>0</v>
      </c>
      <c r="F101" s="33">
        <f t="shared" si="197"/>
        <v>0</v>
      </c>
      <c r="G101" s="33">
        <f t="shared" si="192"/>
        <v>0</v>
      </c>
      <c r="H101" s="34">
        <f t="shared" si="193"/>
        <v>0</v>
      </c>
      <c r="I101" s="35">
        <f t="shared" si="198"/>
        <v>0</v>
      </c>
      <c r="J101" s="36">
        <f t="shared" si="199"/>
        <v>0</v>
      </c>
      <c r="K101" s="36">
        <f t="shared" si="200"/>
        <v>0</v>
      </c>
      <c r="L101" s="36">
        <f t="shared" si="201"/>
        <v>0</v>
      </c>
      <c r="M101" s="36">
        <f t="shared" si="202"/>
        <v>0</v>
      </c>
      <c r="N101" s="36">
        <f t="shared" si="203"/>
        <v>0</v>
      </c>
      <c r="O101" s="36">
        <f t="shared" si="204"/>
        <v>0</v>
      </c>
      <c r="P101" s="36">
        <f t="shared" si="194"/>
        <v>0</v>
      </c>
      <c r="Q101" s="36">
        <f t="shared" si="195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6"/>
        <v>0</v>
      </c>
      <c r="F102" s="33">
        <f t="shared" si="197"/>
        <v>0</v>
      </c>
      <c r="G102" s="33">
        <f t="shared" si="192"/>
        <v>0</v>
      </c>
      <c r="H102" s="34">
        <f t="shared" si="193"/>
        <v>0</v>
      </c>
      <c r="I102" s="35">
        <f t="shared" si="198"/>
        <v>0</v>
      </c>
      <c r="J102" s="36">
        <f t="shared" si="199"/>
        <v>0</v>
      </c>
      <c r="K102" s="36">
        <f t="shared" si="200"/>
        <v>0</v>
      </c>
      <c r="L102" s="36">
        <f t="shared" si="201"/>
        <v>0</v>
      </c>
      <c r="M102" s="36">
        <f t="shared" si="202"/>
        <v>0</v>
      </c>
      <c r="N102" s="36">
        <f t="shared" si="203"/>
        <v>0</v>
      </c>
      <c r="O102" s="36">
        <f t="shared" si="204"/>
        <v>0</v>
      </c>
      <c r="P102" s="36">
        <f t="shared" si="194"/>
        <v>0</v>
      </c>
      <c r="Q102" s="36">
        <f t="shared" si="195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6"/>
        <v>0</v>
      </c>
      <c r="F103" s="60">
        <f t="shared" si="197"/>
        <v>0</v>
      </c>
      <c r="G103" s="60">
        <f t="shared" si="192"/>
        <v>0</v>
      </c>
      <c r="H103" s="61">
        <f t="shared" si="193"/>
        <v>0</v>
      </c>
      <c r="I103" s="62">
        <f t="shared" si="198"/>
        <v>0</v>
      </c>
      <c r="J103" s="63">
        <f t="shared" si="199"/>
        <v>0</v>
      </c>
      <c r="K103" s="63">
        <f t="shared" si="200"/>
        <v>0</v>
      </c>
      <c r="L103" s="63">
        <f t="shared" si="201"/>
        <v>0</v>
      </c>
      <c r="M103" s="63">
        <f t="shared" si="202"/>
        <v>0</v>
      </c>
      <c r="N103" s="63">
        <f t="shared" si="203"/>
        <v>0</v>
      </c>
      <c r="O103" s="63">
        <f t="shared" si="204"/>
        <v>0</v>
      </c>
      <c r="P103" s="63">
        <f t="shared" si="194"/>
        <v>0</v>
      </c>
      <c r="Q103" s="63">
        <f t="shared" si="195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5" ref="E105:E107">0</f>
        <v>0</v>
      </c>
      <c r="F105" s="76">
        <f aca="true" t="shared" si="206" ref="F105:F107">0</f>
        <v>0</v>
      </c>
      <c r="G105" s="76">
        <f aca="true" t="shared" si="207" ref="G105:G107">0</f>
        <v>0</v>
      </c>
      <c r="H105" s="77">
        <f aca="true" t="shared" si="208" ref="H105:H107">0</f>
        <v>0</v>
      </c>
      <c r="I105" s="78">
        <f aca="true" t="shared" si="209" ref="I105:I107">0</f>
        <v>0</v>
      </c>
      <c r="J105" s="79">
        <f aca="true" t="shared" si="210" ref="J105:J107">0</f>
        <v>0</v>
      </c>
      <c r="K105" s="79">
        <f aca="true" t="shared" si="211" ref="K105:K107">0</f>
        <v>0</v>
      </c>
      <c r="L105" s="79">
        <f aca="true" t="shared" si="212" ref="L105:L107">0</f>
        <v>0</v>
      </c>
      <c r="M105" s="79">
        <f aca="true" t="shared" si="213" ref="M105:M107">0</f>
        <v>0</v>
      </c>
      <c r="N105" s="79">
        <f aca="true" t="shared" si="214" ref="N105:N107">0</f>
        <v>0</v>
      </c>
      <c r="O105" s="79">
        <f aca="true" t="shared" si="215" ref="O105:O107">0</f>
        <v>0</v>
      </c>
      <c r="P105" s="79">
        <f aca="true" t="shared" si="216" ref="P105:P107">0</f>
        <v>0</v>
      </c>
      <c r="Q105" s="79">
        <f aca="true" t="shared" si="217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5"/>
        <v>0</v>
      </c>
      <c r="F106" s="33">
        <f t="shared" si="206"/>
        <v>0</v>
      </c>
      <c r="G106" s="33">
        <f t="shared" si="207"/>
        <v>0</v>
      </c>
      <c r="H106" s="34">
        <f t="shared" si="208"/>
        <v>0</v>
      </c>
      <c r="I106" s="35">
        <f t="shared" si="209"/>
        <v>0</v>
      </c>
      <c r="J106" s="36">
        <f t="shared" si="210"/>
        <v>0</v>
      </c>
      <c r="K106" s="36">
        <f t="shared" si="211"/>
        <v>0</v>
      </c>
      <c r="L106" s="36">
        <f t="shared" si="212"/>
        <v>0</v>
      </c>
      <c r="M106" s="36">
        <f t="shared" si="213"/>
        <v>0</v>
      </c>
      <c r="N106" s="36">
        <f t="shared" si="214"/>
        <v>0</v>
      </c>
      <c r="O106" s="36">
        <f t="shared" si="215"/>
        <v>0</v>
      </c>
      <c r="P106" s="36">
        <f t="shared" si="216"/>
        <v>0</v>
      </c>
      <c r="Q106" s="36">
        <f t="shared" si="217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5"/>
        <v>0</v>
      </c>
      <c r="F107" s="60">
        <f t="shared" si="206"/>
        <v>0</v>
      </c>
      <c r="G107" s="60">
        <f t="shared" si="207"/>
        <v>0</v>
      </c>
      <c r="H107" s="61">
        <f t="shared" si="208"/>
        <v>0</v>
      </c>
      <c r="I107" s="62">
        <f t="shared" si="209"/>
        <v>0</v>
      </c>
      <c r="J107" s="63">
        <f t="shared" si="210"/>
        <v>0</v>
      </c>
      <c r="K107" s="63">
        <f t="shared" si="211"/>
        <v>0</v>
      </c>
      <c r="L107" s="63">
        <f t="shared" si="212"/>
        <v>0</v>
      </c>
      <c r="M107" s="63">
        <f t="shared" si="213"/>
        <v>0</v>
      </c>
      <c r="N107" s="63">
        <f t="shared" si="214"/>
        <v>0</v>
      </c>
      <c r="O107" s="63">
        <f t="shared" si="215"/>
        <v>0</v>
      </c>
      <c r="P107" s="63">
        <f t="shared" si="216"/>
        <v>0</v>
      </c>
      <c r="Q107" s="63">
        <f t="shared" si="217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/>
      <c r="Q113"/>
      <c r="R113" s="9"/>
    </row>
    <row r="114" spans="2:18" ht="15.75" customHeight="1">
      <c r="B114" s="107"/>
      <c r="C114" s="103"/>
      <c r="D114" s="103"/>
      <c r="E114" s="108"/>
      <c r="F114" s="108"/>
      <c r="G114" s="108"/>
      <c r="H114" s="108"/>
      <c r="I114" s="103"/>
      <c r="J114" s="103"/>
      <c r="K114" s="103"/>
      <c r="L114" s="103"/>
      <c r="M114" s="103"/>
      <c r="N114" s="103"/>
      <c r="O114" s="103"/>
      <c r="P114" s="109" t="s">
        <v>287</v>
      </c>
      <c r="Q114" s="109"/>
      <c r="R114" s="9"/>
    </row>
    <row r="115" spans="2:18" ht="14.25">
      <c r="B115" s="110"/>
      <c r="C115" s="110"/>
      <c r="D115" s="103"/>
      <c r="E115" s="108"/>
      <c r="F115" s="108"/>
      <c r="G115" s="108"/>
      <c r="H115" s="108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8"/>
      <c r="F116" s="108"/>
      <c r="G116" s="108"/>
      <c r="H116" s="108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8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8"/>
      <c r="F118" s="108"/>
      <c r="G118" s="108"/>
      <c r="H118" s="108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8"/>
      <c r="F119" s="108"/>
      <c r="G119" s="108"/>
      <c r="H119" s="108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8"/>
      <c r="F120" s="108"/>
      <c r="G120" s="108"/>
      <c r="H120" s="108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8"/>
      <c r="F121" s="108"/>
      <c r="G121" s="108"/>
      <c r="H121" s="108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8" ref="I140:I141">IF(I68&gt;=I69,"OK","BŁĄD")</f>
        <v>0</v>
      </c>
      <c r="J140" s="134">
        <f aca="true" t="shared" si="219" ref="J140:J141">IF(J68&gt;=J69,"OK","BŁĄD")</f>
        <v>0</v>
      </c>
      <c r="K140" s="134">
        <f aca="true" t="shared" si="220" ref="K140:K141">IF(K68&gt;=K69,"OK","BŁĄD")</f>
        <v>0</v>
      </c>
      <c r="L140" s="134">
        <f aca="true" t="shared" si="221" ref="L140:L141">IF(L68&gt;=L69,"OK","BŁĄD")</f>
        <v>0</v>
      </c>
      <c r="M140" s="134">
        <f aca="true" t="shared" si="222" ref="M140:M141">IF(M68&gt;=M69,"OK","BŁĄD")</f>
        <v>0</v>
      </c>
      <c r="N140" s="134">
        <f aca="true" t="shared" si="223" ref="N140:N141">IF(N68&gt;=N69,"OK","BŁĄD")</f>
        <v>0</v>
      </c>
      <c r="O140" s="134">
        <f aca="true" t="shared" si="224" ref="O140:O141">IF(O68&gt;=O69,"OK","BŁĄD")</f>
        <v>0</v>
      </c>
      <c r="P140" s="134">
        <f aca="true" t="shared" si="225" ref="P140:P141">IF(P68&gt;=P69,"OK","BŁĄD")</f>
        <v>0</v>
      </c>
      <c r="Q140" s="134">
        <f aca="true" t="shared" si="226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8"/>
        <v>0</v>
      </c>
      <c r="J141" s="134">
        <f t="shared" si="219"/>
        <v>0</v>
      </c>
      <c r="K141" s="134">
        <f t="shared" si="220"/>
        <v>0</v>
      </c>
      <c r="L141" s="134">
        <f t="shared" si="221"/>
        <v>0</v>
      </c>
      <c r="M141" s="134">
        <f t="shared" si="222"/>
        <v>0</v>
      </c>
      <c r="N141" s="134">
        <f t="shared" si="223"/>
        <v>0</v>
      </c>
      <c r="O141" s="134">
        <f t="shared" si="224"/>
        <v>0</v>
      </c>
      <c r="P141" s="134">
        <f t="shared" si="225"/>
        <v>0</v>
      </c>
      <c r="Q141" s="134">
        <f t="shared" si="226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7" ref="I142:I143">IF(I71&gt;=I72,"OK","BŁĄD")</f>
        <v>0</v>
      </c>
      <c r="J142" s="134">
        <f aca="true" t="shared" si="228" ref="J142:J143">IF(J71&gt;=J72,"OK","BŁĄD")</f>
        <v>0</v>
      </c>
      <c r="K142" s="134">
        <f aca="true" t="shared" si="229" ref="K142:K143">IF(K71&gt;=K72,"OK","BŁĄD")</f>
        <v>0</v>
      </c>
      <c r="L142" s="134">
        <f aca="true" t="shared" si="230" ref="L142:L143">IF(L71&gt;=L72,"OK","BŁĄD")</f>
        <v>0</v>
      </c>
      <c r="M142" s="134">
        <f aca="true" t="shared" si="231" ref="M142:M143">IF(M71&gt;=M72,"OK","BŁĄD")</f>
        <v>0</v>
      </c>
      <c r="N142" s="134">
        <f aca="true" t="shared" si="232" ref="N142:N143">IF(N71&gt;=N72,"OK","BŁĄD")</f>
        <v>0</v>
      </c>
      <c r="O142" s="134">
        <f aca="true" t="shared" si="233" ref="O142:O143">IF(O71&gt;=O72,"OK","BŁĄD")</f>
        <v>0</v>
      </c>
      <c r="P142" s="134">
        <f aca="true" t="shared" si="234" ref="P142:P143">IF(P71&gt;=P72,"OK","BŁĄD")</f>
        <v>0</v>
      </c>
      <c r="Q142" s="134">
        <f aca="true" t="shared" si="235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7"/>
        <v>0</v>
      </c>
      <c r="J143" s="134">
        <f t="shared" si="228"/>
        <v>0</v>
      </c>
      <c r="K143" s="134">
        <f t="shared" si="229"/>
        <v>0</v>
      </c>
      <c r="L143" s="134">
        <f t="shared" si="230"/>
        <v>0</v>
      </c>
      <c r="M143" s="134">
        <f t="shared" si="231"/>
        <v>0</v>
      </c>
      <c r="N143" s="134">
        <f t="shared" si="232"/>
        <v>0</v>
      </c>
      <c r="O143" s="134">
        <f t="shared" si="233"/>
        <v>0</v>
      </c>
      <c r="P143" s="134">
        <f t="shared" si="234"/>
        <v>0</v>
      </c>
      <c r="Q143" s="134">
        <f t="shared" si="235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6" ref="J158:J159">IF(J19&gt;=J20,"OK","BŁĄD")</f>
        <v>0</v>
      </c>
      <c r="K158" s="134">
        <f aca="true" t="shared" si="237" ref="K158:K159">IF(K19&gt;=K20,"OK","BŁĄD")</f>
        <v>0</v>
      </c>
      <c r="L158" s="134">
        <f aca="true" t="shared" si="238" ref="L158:L159">IF(L19&gt;=L20,"OK","BŁĄD")</f>
        <v>0</v>
      </c>
      <c r="M158" s="134">
        <f aca="true" t="shared" si="239" ref="M158:M159">IF(M19&gt;=M20,"OK","BŁĄD")</f>
        <v>0</v>
      </c>
      <c r="N158" s="134">
        <f aca="true" t="shared" si="240" ref="N158:N159">IF(N19&gt;=N20,"OK","BŁĄD")</f>
        <v>0</v>
      </c>
      <c r="O158" s="134">
        <f aca="true" t="shared" si="241" ref="O158:O159">IF(O19&gt;=O20,"OK","BŁĄD")</f>
        <v>0</v>
      </c>
      <c r="P158" s="134">
        <f aca="true" t="shared" si="242" ref="P158:P159">IF(P19&gt;=P20,"OK","BŁĄD")</f>
        <v>0</v>
      </c>
      <c r="Q158" s="134">
        <f aca="true" t="shared" si="243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6"/>
        <v>0</v>
      </c>
      <c r="K159" s="134">
        <f t="shared" si="237"/>
        <v>0</v>
      </c>
      <c r="L159" s="134">
        <f t="shared" si="238"/>
        <v>0</v>
      </c>
      <c r="M159" s="134">
        <f t="shared" si="239"/>
        <v>0</v>
      </c>
      <c r="N159" s="134">
        <f t="shared" si="240"/>
        <v>0</v>
      </c>
      <c r="O159" s="134">
        <f t="shared" si="241"/>
        <v>0</v>
      </c>
      <c r="P159" s="134">
        <f t="shared" si="242"/>
        <v>0</v>
      </c>
      <c r="Q159" s="134">
        <f t="shared" si="243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37229518.089999996</v>
      </c>
      <c r="F182" s="159">
        <f>F4+F11</f>
        <v>43743152.89</v>
      </c>
      <c r="G182" s="159">
        <f>G4+G11</f>
        <v>46452958.09</v>
      </c>
      <c r="H182" s="160">
        <f>H4+H11</f>
        <v>46452958.09</v>
      </c>
      <c r="I182" s="161">
        <f>I4+I11</f>
        <v>54980344.620000005</v>
      </c>
      <c r="J182" s="162">
        <f>J4+J11</f>
        <v>51453993.15</v>
      </c>
      <c r="K182" s="162">
        <f>K4+K11</f>
        <v>47217916.14</v>
      </c>
      <c r="L182" s="162">
        <f>L4+L11</f>
        <v>51077629.81</v>
      </c>
      <c r="M182" s="162">
        <f>M4+M11</f>
        <v>49600000</v>
      </c>
      <c r="N182" s="162">
        <f>N4+N11</f>
        <v>51100000</v>
      </c>
      <c r="O182" s="162">
        <f>O4+O11</f>
        <v>52600000</v>
      </c>
      <c r="P182" s="162">
        <f>P4+P11</f>
        <v>54100000</v>
      </c>
      <c r="Q182" s="162">
        <f>Q4+Q11</f>
        <v>55600000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39803316.09</v>
      </c>
      <c r="F183" s="165">
        <f>F15+F23</f>
        <v>42519012.059999995</v>
      </c>
      <c r="G183" s="165">
        <f>G15+G23</f>
        <v>47672428.089999996</v>
      </c>
      <c r="H183" s="166">
        <f>H15+H23</f>
        <v>47672428.089999996</v>
      </c>
      <c r="I183" s="167">
        <f>I15+I23</f>
        <v>55300482.300000004</v>
      </c>
      <c r="J183" s="168">
        <f>J15+J23</f>
        <v>49593989.15</v>
      </c>
      <c r="K183" s="168">
        <f>K15+K23</f>
        <v>45007912.14</v>
      </c>
      <c r="L183" s="168">
        <f>L15+L23</f>
        <v>48867625.81</v>
      </c>
      <c r="M183" s="168">
        <f>M15+M23</f>
        <v>47349996</v>
      </c>
      <c r="N183" s="168">
        <f>N15+N23</f>
        <v>48682000</v>
      </c>
      <c r="O183" s="168">
        <f>O15+O23</f>
        <v>51350000</v>
      </c>
      <c r="P183" s="168">
        <f>P15+P23</f>
        <v>53014683.21</v>
      </c>
      <c r="Q183" s="168">
        <f>Q15+Q23</f>
        <v>54401658.32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-2573798</v>
      </c>
      <c r="F184" s="165">
        <f>F3-F14</f>
        <v>1224140.8299999982</v>
      </c>
      <c r="G184" s="165">
        <f>G3-G14</f>
        <v>-1219470</v>
      </c>
      <c r="H184" s="166">
        <f>H3-H14</f>
        <v>-1219470</v>
      </c>
      <c r="I184" s="167">
        <f>I3-I14</f>
        <v>-320137.6799999997</v>
      </c>
      <c r="J184" s="168">
        <f>J3-J14</f>
        <v>1860004</v>
      </c>
      <c r="K184" s="168">
        <f>K3-K14</f>
        <v>2210004</v>
      </c>
      <c r="L184" s="168">
        <f>L3-L14</f>
        <v>2210004</v>
      </c>
      <c r="M184" s="168">
        <f>M3-M14</f>
        <v>2250004</v>
      </c>
      <c r="N184" s="168">
        <f>N3-N14</f>
        <v>2418000</v>
      </c>
      <c r="O184" s="168">
        <f>O3-O14</f>
        <v>1250000</v>
      </c>
      <c r="P184" s="168">
        <f>P3-P14</f>
        <v>1085316.789999999</v>
      </c>
      <c r="Q184" s="168">
        <f>Q3-Q14</f>
        <v>1198341.6799999997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15354424</v>
      </c>
      <c r="G185" s="171" t="s">
        <v>8</v>
      </c>
      <c r="H185" s="166">
        <f>F41+H30-H35+(H98-F98)+H103</f>
        <v>14161536.79</v>
      </c>
      <c r="I185" s="167">
        <f>H41+I30-I35+(I98-H98)+I103</f>
        <v>14481674.469999999</v>
      </c>
      <c r="J185" s="168">
        <f>I41+J30-J35+(J98-I98)+J103</f>
        <v>12621670.47</v>
      </c>
      <c r="K185" s="168">
        <f>J41+K30-K35+(K98-J98)+K103</f>
        <v>10411666.47</v>
      </c>
      <c r="L185" s="168">
        <f>K41+L30-L35+(L98-K98)+L103</f>
        <v>8201662.470000001</v>
      </c>
      <c r="M185" s="168">
        <f>L41+M30-M35+(M98-L98)+M103</f>
        <v>5951658.47</v>
      </c>
      <c r="N185" s="168">
        <f>M41+N30-N35+(N98-M98)+N103</f>
        <v>3533658.4699999997</v>
      </c>
      <c r="O185" s="168">
        <f>N41+O30-O35+(O98-N98)+O103</f>
        <v>2283658.47</v>
      </c>
      <c r="P185" s="168">
        <f>O41+P30-P35+(P98-O98)+P103</f>
        <v>1198341.6800000002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4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4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4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0.021399999999999995</v>
      </c>
      <c r="J193" s="195">
        <f>+IF(J3=0,"",J52-J47)</f>
        <v>0.017900000000000006</v>
      </c>
      <c r="K193" s="195">
        <f>+IF(K3=0,"",K52-K47)</f>
        <v>0.0358</v>
      </c>
      <c r="L193" s="195">
        <f>+IF(L3=0,"",L52-L47)</f>
        <v>0.059699999999999996</v>
      </c>
      <c r="M193" s="195">
        <f>+IF(M3=0,"",M52-M47)</f>
        <v>0.06709999999999999</v>
      </c>
      <c r="N193" s="195">
        <f>+IF(N3=0,"",N52-N47)</f>
        <v>0.05519999999999999</v>
      </c>
      <c r="O193" s="195">
        <f>+IF(O3=0,"",O52-O47)</f>
        <v>0.0969</v>
      </c>
      <c r="P193" s="195">
        <f>+IF(P3=0,"",P52-P47)</f>
        <v>0.11969999999999999</v>
      </c>
      <c r="Q193" s="195">
        <f>+IF(Q3=0,"",Q52-Q47)</f>
        <v>0.1339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0.021399999999999995</v>
      </c>
      <c r="J194" s="201">
        <f>+IF(J3=0,"",J52-J48)</f>
        <v>0.017900000000000006</v>
      </c>
      <c r="K194" s="201">
        <f>+IF(K3=0,"",K52-K48)</f>
        <v>0.0358</v>
      </c>
      <c r="L194" s="201">
        <f>+IF(L3=0,"",L52-L48)</f>
        <v>0.059699999999999996</v>
      </c>
      <c r="M194" s="201">
        <f>+IF(M3=0,"",M52-M48)</f>
        <v>0.06709999999999999</v>
      </c>
      <c r="N194" s="201">
        <f>+IF(N3=0,"",N52-N48)</f>
        <v>0.05519999999999999</v>
      </c>
      <c r="O194" s="201">
        <f>+IF(O3=0,"",O52-O48)</f>
        <v>0.0969</v>
      </c>
      <c r="P194" s="201">
        <f>+IF(P3=0,"",P52-P48)</f>
        <v>0.11969999999999999</v>
      </c>
      <c r="Q194" s="201">
        <f>+IF(Q3=0,"",Q52-Q48)</f>
        <v>0.1339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0.021399999999999995</v>
      </c>
      <c r="J195" s="195">
        <f>+IF(J3=0,"",J53-J47)</f>
        <v>0.017900000000000006</v>
      </c>
      <c r="K195" s="195">
        <f>+IF(K3=0,"",K53-K47)</f>
        <v>0.0358</v>
      </c>
      <c r="L195" s="195">
        <f>+IF(L3=0,"",L53-L47)</f>
        <v>0.059699999999999996</v>
      </c>
      <c r="M195" s="195">
        <f>+IF(M3=0,"",M53-M47)</f>
        <v>0.06709999999999999</v>
      </c>
      <c r="N195" s="195">
        <f>+IF(N3=0,"",N53-N47)</f>
        <v>0.05519999999999999</v>
      </c>
      <c r="O195" s="195">
        <f>+IF(O3=0,"",O53-O47)</f>
        <v>0.0969</v>
      </c>
      <c r="P195" s="195">
        <f>+IF(P3=0,"",P53-P47)</f>
        <v>0.11969999999999999</v>
      </c>
      <c r="Q195" s="195">
        <f>+IF(Q3=0,"",Q53-Q47)</f>
        <v>0.1339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0.021399999999999995</v>
      </c>
      <c r="J196" s="201">
        <f>+IF(J3=0,"",J53-J48)</f>
        <v>0.017900000000000006</v>
      </c>
      <c r="K196" s="201">
        <f>+IF(K3=0,"",K53-K48)</f>
        <v>0.0358</v>
      </c>
      <c r="L196" s="201">
        <f>+IF(L3=0,"",L53-L48)</f>
        <v>0.059699999999999996</v>
      </c>
      <c r="M196" s="201">
        <f>+IF(M3=0,"",M53-M48)</f>
        <v>0.06709999999999999</v>
      </c>
      <c r="N196" s="201">
        <f>+IF(N3=0,"",N53-N48)</f>
        <v>0.05519999999999999</v>
      </c>
      <c r="O196" s="201">
        <f>+IF(O3=0,"",O53-O48)</f>
        <v>0.0969</v>
      </c>
      <c r="P196" s="201">
        <f>+IF(P3=0,"",P53-P48)</f>
        <v>0.11969999999999999</v>
      </c>
      <c r="Q196" s="201">
        <f>+IF(Q3=0,"",Q53-Q48)</f>
        <v>0.1339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4:Q114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B1:Q114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2015</v>
      </c>
      <c r="F9" s="225">
        <f>+G9-1</f>
        <v>2016</v>
      </c>
      <c r="G9" s="225">
        <f>+H9</f>
        <v>2017</v>
      </c>
      <c r="H9" s="226">
        <f>+I9-1</f>
        <v>2017</v>
      </c>
      <c r="I9" s="227">
        <f>+DaneZrodlowe!$N$1</f>
        <v>2018</v>
      </c>
      <c r="J9" s="228">
        <f>+I9+1</f>
        <v>2019</v>
      </c>
      <c r="K9" s="228">
        <f>+J9+1</f>
        <v>2020</v>
      </c>
      <c r="L9" s="228">
        <f>+K9+1</f>
        <v>2021</v>
      </c>
      <c r="M9" s="228">
        <f>+L9+1</f>
        <v>2022</v>
      </c>
      <c r="N9" s="228">
        <f>+M9+1</f>
        <v>2023</v>
      </c>
      <c r="O9" s="228">
        <f>+N9+1</f>
        <v>2024</v>
      </c>
      <c r="P9" s="228">
        <f>+O9+1</f>
        <v>2025</v>
      </c>
      <c r="Q9" s="228">
        <f>+P9+1</f>
        <v>2026</v>
      </c>
      <c r="R9" s="228">
        <f>+Q9+1</f>
        <v>2027</v>
      </c>
      <c r="S9" s="228">
        <f>+R9+1</f>
        <v>2028</v>
      </c>
      <c r="T9" s="228">
        <f>+S9+1</f>
        <v>2029</v>
      </c>
      <c r="U9" s="228">
        <f>+T9+1</f>
        <v>2030</v>
      </c>
      <c r="V9" s="228">
        <f>+U9+1</f>
        <v>2031</v>
      </c>
      <c r="W9" s="228">
        <f>+V9+1</f>
        <v>2032</v>
      </c>
      <c r="X9" s="228">
        <f>+W9+1</f>
        <v>2033</v>
      </c>
      <c r="Y9" s="228">
        <f>+X9+1</f>
        <v>2034</v>
      </c>
      <c r="Z9" s="228">
        <f>+Y9+1</f>
        <v>2035</v>
      </c>
      <c r="AA9" s="228">
        <f>+Z9+1</f>
        <v>2036</v>
      </c>
      <c r="AB9" s="228">
        <f>+AA9+1</f>
        <v>2037</v>
      </c>
      <c r="AC9" s="228">
        <f>+AB9+1</f>
        <v>2038</v>
      </c>
      <c r="AD9" s="228">
        <f>+AC9+1</f>
        <v>2039</v>
      </c>
      <c r="AE9" s="228">
        <f>+AD9+1</f>
        <v>2040</v>
      </c>
      <c r="AF9" s="228">
        <f>+AE9+1</f>
        <v>2041</v>
      </c>
      <c r="AG9" s="228">
        <f>+AF9+1</f>
        <v>2042</v>
      </c>
      <c r="AH9" s="228">
        <f>+AG9+1</f>
        <v>2043</v>
      </c>
      <c r="AI9" s="228">
        <f>+AH9+1</f>
        <v>2044</v>
      </c>
      <c r="AJ9" s="228">
        <f>+AI9+1</f>
        <v>2045</v>
      </c>
      <c r="AK9" s="228">
        <f>+AJ9+1</f>
        <v>2046</v>
      </c>
      <c r="AL9" s="229">
        <f>+AK9+1</f>
        <v>2047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37229518.09</v>
      </c>
      <c r="F10" s="233">
        <f>'Zał.1_WPF_bazowy'!F3</f>
        <v>43743152.89</v>
      </c>
      <c r="G10" s="233">
        <f>'Zał.1_WPF_bazowy'!G3</f>
        <v>46452958.09</v>
      </c>
      <c r="H10" s="234">
        <f>+H11+H18</f>
        <v>46452958.09</v>
      </c>
      <c r="I10" s="235">
        <f>+I11+I18</f>
        <v>54980344.620000005</v>
      </c>
      <c r="J10" s="236">
        <f>+J11+J18</f>
        <v>51453993.15</v>
      </c>
      <c r="K10" s="236">
        <f>+K11+K18</f>
        <v>47217916.14</v>
      </c>
      <c r="L10" s="236">
        <f>+L11+L18</f>
        <v>51077629.81</v>
      </c>
      <c r="M10" s="236">
        <f>+M11+M18</f>
        <v>49600000</v>
      </c>
      <c r="N10" s="236">
        <f>+N11+N18</f>
        <v>51100000</v>
      </c>
      <c r="O10" s="236">
        <f>+O11+O18</f>
        <v>52600000</v>
      </c>
      <c r="P10" s="236">
        <f>+P11+P18</f>
        <v>54100000</v>
      </c>
      <c r="Q10" s="236">
        <f>+Q11+Q18</f>
        <v>55600000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34353903.41</v>
      </c>
      <c r="F11" s="239">
        <f>'Zał.1_WPF_bazowy'!F4</f>
        <v>42746711.29</v>
      </c>
      <c r="G11" s="239">
        <f>'Zał.1_WPF_bazowy'!G4</f>
        <v>42315174.75</v>
      </c>
      <c r="H11" s="240">
        <f>'Zał.1_WPF_bazowy'!H4</f>
        <v>42315174.75</v>
      </c>
      <c r="I11" s="241">
        <f>+'Zał.1_WPF_bazowy'!I4</f>
        <v>43631493.67</v>
      </c>
      <c r="J11" s="242">
        <f>+'Zał.1_WPF_bazowy'!J4</f>
        <v>45100000</v>
      </c>
      <c r="K11" s="242">
        <f>+'Zał.1_WPF_bazowy'!K4</f>
        <v>46600000</v>
      </c>
      <c r="L11" s="242">
        <f>+'Zał.1_WPF_bazowy'!L4</f>
        <v>48100000</v>
      </c>
      <c r="M11" s="242">
        <f>+'Zał.1_WPF_bazowy'!M4</f>
        <v>49600000</v>
      </c>
      <c r="N11" s="242">
        <f>+'Zał.1_WPF_bazowy'!N4</f>
        <v>51100000</v>
      </c>
      <c r="O11" s="242">
        <f>+'Zał.1_WPF_bazowy'!O4</f>
        <v>52600000</v>
      </c>
      <c r="P11" s="242">
        <f>+'Zał.1_WPF_bazowy'!P4</f>
        <v>54100000</v>
      </c>
      <c r="Q11" s="242">
        <f>+'Zał.1_WPF_bazowy'!Q4</f>
        <v>55600000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7843520</v>
      </c>
      <c r="F12" s="239">
        <f>'Zał.1_WPF_bazowy'!F5</f>
        <v>8607750</v>
      </c>
      <c r="G12" s="239">
        <f>'Zał.1_WPF_bazowy'!G5</f>
        <v>9600000</v>
      </c>
      <c r="H12" s="240">
        <f>'Zał.1_WPF_bazowy'!H5</f>
        <v>9600000</v>
      </c>
      <c r="I12" s="241">
        <f>+'Zał.1_WPF_bazowy'!I5</f>
        <v>10192000</v>
      </c>
      <c r="J12" s="242">
        <f>+'Zał.1_WPF_bazowy'!J5</f>
        <v>10700000</v>
      </c>
      <c r="K12" s="242">
        <f>+'Zał.1_WPF_bazowy'!K5</f>
        <v>11200000</v>
      </c>
      <c r="L12" s="242">
        <f>+'Zał.1_WPF_bazowy'!L5</f>
        <v>11700000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103587.11</v>
      </c>
      <c r="F13" s="239">
        <f>'Zał.1_WPF_bazowy'!F6</f>
        <v>147604.02</v>
      </c>
      <c r="G13" s="239">
        <f>'Zał.1_WPF_bazowy'!G6</f>
        <v>140000</v>
      </c>
      <c r="H13" s="240">
        <f>'Zał.1_WPF_bazowy'!H6</f>
        <v>140000</v>
      </c>
      <c r="I13" s="241">
        <f>+'Zał.1_WPF_bazowy'!I6</f>
        <v>150000</v>
      </c>
      <c r="J13" s="242">
        <f>+'Zał.1_WPF_bazowy'!J6</f>
        <v>160000</v>
      </c>
      <c r="K13" s="242">
        <f>+'Zał.1_WPF_bazowy'!K6</f>
        <v>170000</v>
      </c>
      <c r="L13" s="242">
        <f>+'Zał.1_WPF_bazowy'!L6</f>
        <v>180000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7671198.75</v>
      </c>
      <c r="F14" s="239">
        <f>'Zał.1_WPF_bazowy'!F7</f>
        <v>8050788.34</v>
      </c>
      <c r="G14" s="239">
        <f>'Zał.1_WPF_bazowy'!G7</f>
        <v>7979300.76</v>
      </c>
      <c r="H14" s="240">
        <f>'Zał.1_WPF_bazowy'!H7</f>
        <v>7979300.76</v>
      </c>
      <c r="I14" s="241">
        <f>+'Zał.1_WPF_bazowy'!I7</f>
        <v>8022475</v>
      </c>
      <c r="J14" s="242">
        <f>+'Zał.1_WPF_bazowy'!J7</f>
        <v>8200000</v>
      </c>
      <c r="K14" s="242">
        <f>+'Zał.1_WPF_bazowy'!K7</f>
        <v>8400000</v>
      </c>
      <c r="L14" s="242">
        <f>+'Zał.1_WPF_bazowy'!L7</f>
        <v>8600000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4945027.31</v>
      </c>
      <c r="F15" s="239">
        <f>'Zał.1_WPF_bazowy'!F8</f>
        <v>4890294.53</v>
      </c>
      <c r="G15" s="239">
        <f>'Zał.1_WPF_bazowy'!G8</f>
        <v>4850000</v>
      </c>
      <c r="H15" s="240">
        <f>'Zał.1_WPF_bazowy'!H8</f>
        <v>4850000</v>
      </c>
      <c r="I15" s="241">
        <f>+'Zał.1_WPF_bazowy'!I8</f>
        <v>4950000</v>
      </c>
      <c r="J15" s="242">
        <f>+'Zał.1_WPF_bazowy'!J8</f>
        <v>5100000</v>
      </c>
      <c r="K15" s="242">
        <f>+'Zał.1_WPF_bazowy'!K8</f>
        <v>5300000</v>
      </c>
      <c r="L15" s="242">
        <f>+'Zał.1_WPF_bazowy'!L8</f>
        <v>5500000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9112541</v>
      </c>
      <c r="F16" s="239">
        <f>'Zał.1_WPF_bazowy'!F9</f>
        <v>9129602</v>
      </c>
      <c r="G16" s="239">
        <f>'Zał.1_WPF_bazowy'!G9</f>
        <v>8611016</v>
      </c>
      <c r="H16" s="240">
        <f>'Zał.1_WPF_bazowy'!H9</f>
        <v>8611016</v>
      </c>
      <c r="I16" s="241">
        <f>+'Zał.1_WPF_bazowy'!I9</f>
        <v>9468072</v>
      </c>
      <c r="J16" s="242">
        <f>+'Zał.1_WPF_bazowy'!J9</f>
        <v>9500000</v>
      </c>
      <c r="K16" s="242">
        <f>+'Zał.1_WPF_bazowy'!K9</f>
        <v>10000000</v>
      </c>
      <c r="L16" s="242">
        <f>+'Zał.1_WPF_bazowy'!L9</f>
        <v>10500000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6575959.99</v>
      </c>
      <c r="F17" s="239">
        <f>'Zał.1_WPF_bazowy'!F10</f>
        <v>14164058.91</v>
      </c>
      <c r="G17" s="239">
        <f>'Zał.1_WPF_bazowy'!G10</f>
        <v>13746413.99</v>
      </c>
      <c r="H17" s="240">
        <f>'Zał.1_WPF_bazowy'!H10</f>
        <v>13746413.99</v>
      </c>
      <c r="I17" s="241">
        <f>+'Zał.1_WPF_bazowy'!I10</f>
        <v>14088339.67</v>
      </c>
      <c r="J17" s="242">
        <f>+'Zał.1_WPF_bazowy'!J10</f>
        <v>14400000</v>
      </c>
      <c r="K17" s="242">
        <f>+'Zał.1_WPF_bazowy'!K10</f>
        <v>14800000</v>
      </c>
      <c r="L17" s="242">
        <f>+'Zał.1_WPF_bazowy'!L10</f>
        <v>15200000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2875614.68</v>
      </c>
      <c r="F18" s="239">
        <f>'Zał.1_WPF_bazowy'!F11</f>
        <v>996441.6</v>
      </c>
      <c r="G18" s="239">
        <f>'Zał.1_WPF_bazowy'!G11</f>
        <v>4137783.34</v>
      </c>
      <c r="H18" s="240">
        <f>'Zał.1_WPF_bazowy'!H11</f>
        <v>4137783.34</v>
      </c>
      <c r="I18" s="241">
        <f>+'Zał.1_WPF_bazowy'!I11</f>
        <v>11348850.95</v>
      </c>
      <c r="J18" s="242">
        <f>+'Zał.1_WPF_bazowy'!J11</f>
        <v>6353993.15</v>
      </c>
      <c r="K18" s="242">
        <f>+'Zał.1_WPF_bazowy'!K11</f>
        <v>617916.14</v>
      </c>
      <c r="L18" s="242">
        <f>+'Zał.1_WPF_bazowy'!L11</f>
        <v>2977629.81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32599.6</v>
      </c>
      <c r="F19" s="239">
        <f>'Zał.1_WPF_bazowy'!F12</f>
        <v>49229.06</v>
      </c>
      <c r="G19" s="239">
        <f>'Zał.1_WPF_bazowy'!G12</f>
        <v>158682</v>
      </c>
      <c r="H19" s="240">
        <f>'Zał.1_WPF_bazowy'!H12</f>
        <v>158682</v>
      </c>
      <c r="I19" s="241">
        <f>+'Zał.1_WPF_bazowy'!I12</f>
        <v>1655000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2838905.27</v>
      </c>
      <c r="F20" s="239">
        <f>'Zał.1_WPF_bazowy'!F13</f>
        <v>935466.57</v>
      </c>
      <c r="G20" s="239">
        <f>'Zał.1_WPF_bazowy'!G13</f>
        <v>3969101.34</v>
      </c>
      <c r="H20" s="240">
        <f>'Zał.1_WPF_bazowy'!H13</f>
        <v>3969101.34</v>
      </c>
      <c r="I20" s="241">
        <f>+'Zał.1_WPF_bazowy'!I13</f>
        <v>9683850.95</v>
      </c>
      <c r="J20" s="242">
        <f>+'Zał.1_WPF_bazowy'!J13</f>
        <v>1403993.15</v>
      </c>
      <c r="K20" s="242">
        <f>+'Zał.1_WPF_bazowy'!K13</f>
        <v>617916.14</v>
      </c>
      <c r="L20" s="242">
        <f>+'Zał.1_WPF_bazowy'!L13</f>
        <v>2977629.81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39803316.09</v>
      </c>
      <c r="F21" s="233">
        <f>'Zał.1_WPF_bazowy'!F14</f>
        <v>42519012.06</v>
      </c>
      <c r="G21" s="233">
        <f>'Zał.1_WPF_bazowy'!G14</f>
        <v>47672428.09</v>
      </c>
      <c r="H21" s="234">
        <f>+H22+H30</f>
        <v>47672428.089999996</v>
      </c>
      <c r="I21" s="235">
        <f>+I22+I30</f>
        <v>55300482.300000004</v>
      </c>
      <c r="J21" s="236">
        <f>+J22+J30</f>
        <v>49593989.15</v>
      </c>
      <c r="K21" s="236">
        <f>+K22+K30</f>
        <v>45007912.14</v>
      </c>
      <c r="L21" s="236">
        <f>+L22+L30</f>
        <v>48867625.81</v>
      </c>
      <c r="M21" s="236">
        <f>+M22+M30</f>
        <v>47349996</v>
      </c>
      <c r="N21" s="236">
        <f>+N22+N30</f>
        <v>48682000</v>
      </c>
      <c r="O21" s="236">
        <f>+O22+O30</f>
        <v>51350000</v>
      </c>
      <c r="P21" s="236">
        <f>+P22+P30</f>
        <v>53014683.21</v>
      </c>
      <c r="Q21" s="236">
        <f>+Q22+Q30</f>
        <v>54401658.32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31703820.82</v>
      </c>
      <c r="F22" s="239">
        <f>'Zał.1_WPF_bazowy'!F15</f>
        <v>39425486.37</v>
      </c>
      <c r="G22" s="239">
        <f>'Zał.1_WPF_bazowy'!G15</f>
        <v>40778799.3</v>
      </c>
      <c r="H22" s="240">
        <f>'Zał.1_WPF_bazowy'!H15</f>
        <v>40778799.3</v>
      </c>
      <c r="I22" s="241">
        <f>+'Zał.1_WPF_bazowy'!I15</f>
        <v>40963249.17</v>
      </c>
      <c r="J22" s="242">
        <f>+'Zał.1_WPF_bazowy'!J15</f>
        <v>41700000</v>
      </c>
      <c r="K22" s="242">
        <f>+'Zał.1_WPF_bazowy'!K15</f>
        <v>42200000</v>
      </c>
      <c r="L22" s="242">
        <f>+'Zał.1_WPF_bazowy'!L15</f>
        <v>42700000</v>
      </c>
      <c r="M22" s="242">
        <f>+'Zał.1_WPF_bazowy'!M15</f>
        <v>43200000</v>
      </c>
      <c r="N22" s="242">
        <f>+'Zał.1_WPF_bazowy'!N15</f>
        <v>43700000</v>
      </c>
      <c r="O22" s="242">
        <f>+'Zał.1_WPF_bazowy'!O15</f>
        <v>44200000</v>
      </c>
      <c r="P22" s="242">
        <f>+'Zał.1_WPF_bazowy'!P15</f>
        <v>44700000</v>
      </c>
      <c r="Q22" s="242">
        <f>+'Zał.1_WPF_bazowy'!Q15</f>
        <v>45200000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28500</v>
      </c>
      <c r="H23" s="240">
        <f>'Zał.1_WPF_bazowy'!H16</f>
        <v>28500</v>
      </c>
      <c r="I23" s="241">
        <f>+'Zał.1_WPF_bazowy'!I16</f>
        <v>116000</v>
      </c>
      <c r="J23" s="242">
        <f>+'Zał.1_WPF_bazowy'!J16</f>
        <v>117000</v>
      </c>
      <c r="K23" s="242">
        <f>+'Zał.1_WPF_bazowy'!K16</f>
        <v>119000</v>
      </c>
      <c r="L23" s="242">
        <f>+'Zał.1_WPF_bazowy'!L16</f>
        <v>120000</v>
      </c>
      <c r="M23" s="242">
        <f>+'Zał.1_WPF_bazowy'!M16</f>
        <v>122000</v>
      </c>
      <c r="N23" s="242">
        <f>+'Zał.1_WPF_bazowy'!N16</f>
        <v>124000</v>
      </c>
      <c r="O23" s="242">
        <f>+'Zał.1_WPF_bazowy'!O16</f>
        <v>126000</v>
      </c>
      <c r="P23" s="242">
        <f>+'Zał.1_WPF_bazowy'!P16</f>
        <v>128000</v>
      </c>
      <c r="Q23" s="242">
        <f>+'Zał.1_WPF_bazowy'!Q16</f>
        <v>130000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448191.95</v>
      </c>
      <c r="F26" s="239">
        <f>'Zał.1_WPF_bazowy'!F19</f>
        <v>479637.86</v>
      </c>
      <c r="G26" s="239">
        <f>'Zał.1_WPF_bazowy'!G19</f>
        <v>463500</v>
      </c>
      <c r="H26" s="240">
        <f>'Zał.1_WPF_bazowy'!H19</f>
        <v>463500</v>
      </c>
      <c r="I26" s="241">
        <f>+'Zał.1_WPF_bazowy'!I19</f>
        <v>435000</v>
      </c>
      <c r="J26" s="242">
        <f>+'Zał.1_WPF_bazowy'!J19</f>
        <v>400000</v>
      </c>
      <c r="K26" s="242">
        <f>+'Zał.1_WPF_bazowy'!K19</f>
        <v>360000</v>
      </c>
      <c r="L26" s="242">
        <f>+'Zał.1_WPF_bazowy'!L19</f>
        <v>310000</v>
      </c>
      <c r="M26" s="242">
        <f>+'Zał.1_WPF_bazowy'!M19</f>
        <v>270000</v>
      </c>
      <c r="N26" s="242">
        <f>+'Zał.1_WPF_bazowy'!N19</f>
        <v>220000</v>
      </c>
      <c r="O26" s="242">
        <f>+'Zał.1_WPF_bazowy'!O19</f>
        <v>180000</v>
      </c>
      <c r="P26" s="242">
        <f>+'Zał.1_WPF_bazowy'!P19</f>
        <v>130000</v>
      </c>
      <c r="Q26" s="242">
        <f>+'Zał.1_WPF_bazowy'!Q19</f>
        <v>90000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443191.95</v>
      </c>
      <c r="F27" s="239">
        <f>'Zał.1_WPF_bazowy'!F20</f>
        <v>479637.86</v>
      </c>
      <c r="G27" s="239">
        <f>'Zał.1_WPF_bazowy'!G20</f>
        <v>458500</v>
      </c>
      <c r="H27" s="240">
        <f>'Zał.1_WPF_bazowy'!H20</f>
        <v>458500</v>
      </c>
      <c r="I27" s="241">
        <f>+'Zał.1_WPF_bazowy'!I20</f>
        <v>430000</v>
      </c>
      <c r="J27" s="242">
        <f>+'Zał.1_WPF_bazowy'!J20</f>
        <v>400000</v>
      </c>
      <c r="K27" s="242">
        <f>+'Zał.1_WPF_bazowy'!K20</f>
        <v>350000</v>
      </c>
      <c r="L27" s="242">
        <f>+'Zał.1_WPF_bazowy'!L20</f>
        <v>310000</v>
      </c>
      <c r="M27" s="242">
        <f>+'Zał.1_WPF_bazowy'!M20</f>
        <v>270000</v>
      </c>
      <c r="N27" s="242">
        <f>+'Zał.1_WPF_bazowy'!N20</f>
        <v>220000</v>
      </c>
      <c r="O27" s="242">
        <f>+'Zał.1_WPF_bazowy'!O20</f>
        <v>180000</v>
      </c>
      <c r="P27" s="242">
        <f>+'Zał.1_WPF_bazowy'!P20</f>
        <v>130000</v>
      </c>
      <c r="Q27" s="242">
        <f>+'Zał.1_WPF_bazowy'!Q20</f>
        <v>90000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8099495.27</v>
      </c>
      <c r="F30" s="239">
        <f>'Zał.1_WPF_bazowy'!F23</f>
        <v>3093525.69</v>
      </c>
      <c r="G30" s="239">
        <f>'Zał.1_WPF_bazowy'!G23</f>
        <v>6893628.79</v>
      </c>
      <c r="H30" s="240">
        <f>'Zał.1_WPF_bazowy'!H23</f>
        <v>6893628.79</v>
      </c>
      <c r="I30" s="241">
        <f>+'Zał.1_WPF_bazowy'!I23</f>
        <v>14337233.13</v>
      </c>
      <c r="J30" s="242">
        <f>+'Zał.1_WPF_bazowy'!J23</f>
        <v>7893989.15</v>
      </c>
      <c r="K30" s="242">
        <f>+'Zał.1_WPF_bazowy'!K23</f>
        <v>2807912.14</v>
      </c>
      <c r="L30" s="242">
        <f>+'Zał.1_WPF_bazowy'!L23</f>
        <v>6167625.81</v>
      </c>
      <c r="M30" s="242">
        <f>+'Zał.1_WPF_bazowy'!M23</f>
        <v>4149996</v>
      </c>
      <c r="N30" s="242">
        <f>+'Zał.1_WPF_bazowy'!N23</f>
        <v>4982000</v>
      </c>
      <c r="O30" s="242">
        <f>+'Zał.1_WPF_bazowy'!O23</f>
        <v>7150000</v>
      </c>
      <c r="P30" s="242">
        <f>+'Zał.1_WPF_bazowy'!P23</f>
        <v>8314683.21</v>
      </c>
      <c r="Q30" s="242">
        <f>+'Zał.1_WPF_bazowy'!Q23</f>
        <v>9201658.32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-2573798</v>
      </c>
      <c r="F31" s="233">
        <f>'Zał.1_WPF_bazowy'!F24</f>
        <v>1224140.83</v>
      </c>
      <c r="G31" s="233">
        <f>'Zał.1_WPF_bazowy'!G24</f>
        <v>-1219470</v>
      </c>
      <c r="H31" s="234">
        <f>+H10-H21</f>
        <v>-1219469.9999999925</v>
      </c>
      <c r="I31" s="235">
        <f>+I10-I21</f>
        <v>-320137.6799999997</v>
      </c>
      <c r="J31" s="236">
        <f>+J10-J21</f>
        <v>1860004</v>
      </c>
      <c r="K31" s="236">
        <f>+K10-K21</f>
        <v>2210004</v>
      </c>
      <c r="L31" s="236">
        <f>+L10-L21</f>
        <v>2210004</v>
      </c>
      <c r="M31" s="236">
        <f>+M10-M21</f>
        <v>2250004</v>
      </c>
      <c r="N31" s="236">
        <f>+N10-N21</f>
        <v>2418000</v>
      </c>
      <c r="O31" s="236">
        <f>+O10-O21</f>
        <v>1250000</v>
      </c>
      <c r="P31" s="236">
        <f>+P10-P21</f>
        <v>1085316.789999999</v>
      </c>
      <c r="Q31" s="236">
        <f>+Q10-Q21</f>
        <v>1198341.6799999997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5893398.38</v>
      </c>
      <c r="F32" s="233">
        <f>'Zał.1_WPF_bazowy'!F25</f>
        <v>2403908.38</v>
      </c>
      <c r="G32" s="233">
        <f>'Zał.1_WPF_bazowy'!G25</f>
        <v>2697674</v>
      </c>
      <c r="H32" s="234">
        <f>+H33+H35+H37+H39</f>
        <v>2697674</v>
      </c>
      <c r="I32" s="235">
        <f>+I33+I35+I37+I39</f>
        <v>1998341.68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4393398.38</v>
      </c>
      <c r="F35" s="239">
        <f>'Zał.1_WPF_bazowy'!F28</f>
        <v>2403908.38</v>
      </c>
      <c r="G35" s="239">
        <f>'Zał.1_WPF_bazowy'!G28</f>
        <v>2412357.21</v>
      </c>
      <c r="H35" s="240">
        <f>'Zał.1_WPF_bazowy'!H28</f>
        <v>2412357.21</v>
      </c>
      <c r="I35" s="241">
        <f>+'Zał.1_WPF_bazowy'!I28</f>
        <v>0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2573759.75</v>
      </c>
      <c r="F36" s="239">
        <f>'Zał.1_WPF_bazowy'!F29</f>
        <v>0</v>
      </c>
      <c r="G36" s="239">
        <f>'Zał.1_WPF_bazowy'!G29</f>
        <v>934153.21</v>
      </c>
      <c r="H36" s="240">
        <f>'Zał.1_WPF_bazowy'!H29</f>
        <v>934153.21</v>
      </c>
      <c r="I36" s="241">
        <f>+'Zał.1_WPF_bazowy'!I29</f>
        <v>0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1500000</v>
      </c>
      <c r="F37" s="239">
        <f>'Zał.1_WPF_bazowy'!F30</f>
        <v>0</v>
      </c>
      <c r="G37" s="239">
        <f>'Zał.1_WPF_bazowy'!G30</f>
        <v>285316.79</v>
      </c>
      <c r="H37" s="240">
        <f>'Zał.1_WPF_bazowy'!H30</f>
        <v>285316.79</v>
      </c>
      <c r="I37" s="241">
        <f>+'Zał.1_WPF_bazowy'!I30</f>
        <v>1998341.68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285316.79</v>
      </c>
      <c r="H38" s="240">
        <f>'Zał.1_WPF_bazowy'!H31</f>
        <v>285316.79</v>
      </c>
      <c r="I38" s="241">
        <f>+'Zał.1_WPF_bazowy'!I31</f>
        <v>320137.68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915692</v>
      </c>
      <c r="F41" s="233">
        <f>'Zał.1_WPF_bazowy'!F34</f>
        <v>1215692</v>
      </c>
      <c r="G41" s="233">
        <f>'Zał.1_WPF_bazowy'!G34</f>
        <v>1478204</v>
      </c>
      <c r="H41" s="234">
        <f>+H42+H47</f>
        <v>1478204</v>
      </c>
      <c r="I41" s="235">
        <f>+I42+I47</f>
        <v>1678204</v>
      </c>
      <c r="J41" s="236">
        <f>+J42+J47</f>
        <v>1860004</v>
      </c>
      <c r="K41" s="236">
        <f>+K42+K47</f>
        <v>2210004</v>
      </c>
      <c r="L41" s="236">
        <f>+L42+L47</f>
        <v>2210004</v>
      </c>
      <c r="M41" s="236">
        <f>+M42+M47</f>
        <v>2250004</v>
      </c>
      <c r="N41" s="236">
        <f>+N42+N47</f>
        <v>2418000</v>
      </c>
      <c r="O41" s="236">
        <f>+O42+O47</f>
        <v>1250000</v>
      </c>
      <c r="P41" s="236">
        <f>+P42+P47</f>
        <v>1085316.79</v>
      </c>
      <c r="Q41" s="236">
        <f>+Q42+Q47</f>
        <v>1198341.68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915692</v>
      </c>
      <c r="F42" s="239">
        <f>'Zał.1_WPF_bazowy'!F35</f>
        <v>1215692</v>
      </c>
      <c r="G42" s="239">
        <f>'Zał.1_WPF_bazowy'!G35</f>
        <v>1478204</v>
      </c>
      <c r="H42" s="240">
        <f>'Zał.1_WPF_bazowy'!H35</f>
        <v>1478204</v>
      </c>
      <c r="I42" s="241">
        <f>+'Zał.1_WPF_bazowy'!I35</f>
        <v>1678204</v>
      </c>
      <c r="J42" s="242">
        <f>+'Zał.1_WPF_bazowy'!J35</f>
        <v>1860004</v>
      </c>
      <c r="K42" s="242">
        <f>+'Zał.1_WPF_bazowy'!K35</f>
        <v>2210004</v>
      </c>
      <c r="L42" s="242">
        <f>+'Zał.1_WPF_bazowy'!L35</f>
        <v>2210004</v>
      </c>
      <c r="M42" s="242">
        <f>+'Zał.1_WPF_bazowy'!M35</f>
        <v>2250004</v>
      </c>
      <c r="N42" s="242">
        <f>+'Zał.1_WPF_bazowy'!N35</f>
        <v>2418000</v>
      </c>
      <c r="O42" s="242">
        <f>+'Zał.1_WPF_bazowy'!O35</f>
        <v>1250000</v>
      </c>
      <c r="P42" s="242">
        <f>+'Zał.1_WPF_bazowy'!P35</f>
        <v>1085316.79</v>
      </c>
      <c r="Q42" s="242">
        <f>+'Zał.1_WPF_bazowy'!Q35</f>
        <v>1198341.68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16570116</v>
      </c>
      <c r="F48" s="233">
        <f>'Zał.1_WPF_bazowy'!F41</f>
        <v>15354424</v>
      </c>
      <c r="G48" s="233">
        <f>'Zał.1_WPF_bazowy'!G41</f>
        <v>14161536.79</v>
      </c>
      <c r="H48" s="249">
        <f>'Zał.1_WPF_bazowy'!H41</f>
        <v>14161536.79</v>
      </c>
      <c r="I48" s="250">
        <f>+IF(I10&lt;&gt;0,H48+I37-I42+(I105-H105)+I110,0)</f>
        <v>14481674.469999999</v>
      </c>
      <c r="J48" s="251">
        <f>+IF(J10&lt;&gt;0,I48+J37-J42+(J105-I105)+J110,0)</f>
        <v>12621670.469999999</v>
      </c>
      <c r="K48" s="251">
        <f>+IF(K10&lt;&gt;0,J48+K37-K42+(K105-J105)+K110,0)</f>
        <v>10411666.469999999</v>
      </c>
      <c r="L48" s="251">
        <f>+IF(L10&lt;&gt;0,K48+L37-L42+(L105-K105)+L110,0)</f>
        <v>8201662.469999999</v>
      </c>
      <c r="M48" s="251">
        <f>+IF(M10&lt;&gt;0,L48+M37-M42+(M105-L105)+M110,0)</f>
        <v>5951658.469999999</v>
      </c>
      <c r="N48" s="251">
        <f>+IF(N10&lt;&gt;0,M48+N37-N42+(N105-M105)+N110,0)</f>
        <v>3533658.469999999</v>
      </c>
      <c r="O48" s="251">
        <f>+IF(O10&lt;&gt;0,N48+O37-O42+(O105-N105)+O110,0)</f>
        <v>2283658.469999999</v>
      </c>
      <c r="P48" s="251">
        <f>+IF(P10&lt;&gt;0,O48+P37-P42+(P105-O105)+P110,0)</f>
        <v>1198341.6799999988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2650082.59</v>
      </c>
      <c r="F51" s="239">
        <f>'Zał.1_WPF_bazowy'!F44</f>
        <v>3321224.92</v>
      </c>
      <c r="G51" s="239">
        <f>'Zał.1_WPF_bazowy'!G44</f>
        <v>1536375.45</v>
      </c>
      <c r="H51" s="246">
        <f>+H11-H22</f>
        <v>1536375.450000003</v>
      </c>
      <c r="I51" s="247">
        <f>+I11-I22</f>
        <v>2668244.5</v>
      </c>
      <c r="J51" s="248">
        <f>+J11-J22</f>
        <v>3400000</v>
      </c>
      <c r="K51" s="248">
        <f>+K11-K22</f>
        <v>4400000</v>
      </c>
      <c r="L51" s="248">
        <f>+L11-L22</f>
        <v>5400000</v>
      </c>
      <c r="M51" s="248">
        <f>+M11-M22</f>
        <v>6400000</v>
      </c>
      <c r="N51" s="248">
        <f>+N11-N22</f>
        <v>7400000</v>
      </c>
      <c r="O51" s="248">
        <f>+O11-O22</f>
        <v>8400000</v>
      </c>
      <c r="P51" s="248">
        <f>+P11-P22</f>
        <v>9400000</v>
      </c>
      <c r="Q51" s="248">
        <f>+Q11-Q22</f>
        <v>10400000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7043480.969999999</v>
      </c>
      <c r="F52" s="239">
        <f>+IF(AND(F9&gt;=2013,F9&lt;=2015),+F11+F33+F35-(F22-F25),+F11+F33+F35-F22)</f>
        <v>5725133.3000000045</v>
      </c>
      <c r="G52" s="239">
        <f>+IF(AND(G9&gt;=2013,G9&lt;=2015),+G11+G33+G35-(G22-G25),+G11+G33+G35-G22)</f>
        <v>3948732.660000004</v>
      </c>
      <c r="H52" s="246">
        <f>+IF(AND(H9&gt;=2013,H9&lt;=2015),+H11+H33+H35-(H22-H25),+H11+H33+H35-H22)</f>
        <v>3948732.660000004</v>
      </c>
      <c r="I52" s="247">
        <f>+IF(AND(I9&gt;=2013,I9&lt;=2015),+I11+I33+I35-(I22-I25),+I11+I33+I35-I22)</f>
        <v>2668244.5</v>
      </c>
      <c r="J52" s="248">
        <f>+IF(AND(J9&gt;=2013,J9&lt;=2015),+J11+J33+J35-(J22-J25),+J11+J33+J35-J22)</f>
        <v>3400000</v>
      </c>
      <c r="K52" s="248">
        <f>+IF(AND(K9&gt;=2013,K9&lt;=2015),+K11+K33+K35-(K22-K25),+K11+K33+K35-K22)</f>
        <v>4400000</v>
      </c>
      <c r="L52" s="248">
        <f>+IF(AND(L9&gt;=2013,L9&lt;=2015),+L11+L33+L35-(L22-L25),+L11+L33+L35-L22)</f>
        <v>5400000</v>
      </c>
      <c r="M52" s="248">
        <f>+IF(AND(M9&gt;=2013,M9&lt;=2015),+M11+M33+M35-(M22-M25),+M11+M33+M35-M22)</f>
        <v>6400000</v>
      </c>
      <c r="N52" s="248">
        <f>+IF(AND(N9&gt;=2013,N9&lt;=2015),+N11+N33+N35-(N22-N25),+N11+N33+N35-N22)</f>
        <v>7400000</v>
      </c>
      <c r="O52" s="248">
        <f>+IF(AND(O9&gt;=2013,O9&lt;=2015),+O11+O33+O35-(O22-O25),+O11+O33+O35-O22)</f>
        <v>8400000</v>
      </c>
      <c r="P52" s="248">
        <f>+IF(AND(P9&gt;=2013,P9&lt;=2015),+P11+P33+P35-(P22-P25),+P11+P33+P35-P22)</f>
        <v>9400000</v>
      </c>
      <c r="Q52" s="248">
        <f>+IF(AND(Q9&gt;=2013,Q9&lt;=2015),+Q11+Q33+Q35-(Q22-Q25),+Q11+Q33+Q35-Q22)</f>
        <v>10400000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0.0365</v>
      </c>
      <c r="F54" s="263">
        <f>'Zał.1_WPF_bazowy'!F47</f>
        <v>0.0388</v>
      </c>
      <c r="G54" s="263">
        <f>'Zał.1_WPF_bazowy'!G47</f>
        <v>0.0423</v>
      </c>
      <c r="H54" s="264">
        <f>+IF(H10&lt;&gt;0,ROUND((H23+H27+H42)/H10,$K$7+2),"-")</f>
        <v>0.0423</v>
      </c>
      <c r="I54" s="265">
        <f>+IF(I10&lt;&gt;0,ROUND((I23+I27+I42)/I10,$K$7+2),"-")</f>
        <v>0.0405</v>
      </c>
      <c r="J54" s="266">
        <f>+IF(J10&lt;&gt;0,ROUND((J23+J27+J42)/J10,$K$7+2),"-")</f>
        <v>0.0462</v>
      </c>
      <c r="K54" s="266">
        <f>+IF(K10&lt;&gt;0,ROUND((K23+K27+K42)/K10,$K$7+2),"-")</f>
        <v>0.0567</v>
      </c>
      <c r="L54" s="266">
        <f>+IF(L10&lt;&gt;0,ROUND((L23+L27+L42)/L10,$K$7+2),"-")</f>
        <v>0.0517</v>
      </c>
      <c r="M54" s="266">
        <f>+IF(M10&lt;&gt;0,ROUND((M23+M27+M42)/M10,$K$7+2),"-")</f>
        <v>0.0533</v>
      </c>
      <c r="N54" s="266">
        <f>+IF(N10&lt;&gt;0,ROUND((N23+N27+N42)/N10,$K$7+2),"-")</f>
        <v>0.0541</v>
      </c>
      <c r="O54" s="266">
        <f>+IF(O10&lt;&gt;0,ROUND((O23+O27+O42)/O10,$K$7+2),"-")</f>
        <v>0.0296</v>
      </c>
      <c r="P54" s="266">
        <f>+IF(P10&lt;&gt;0,ROUND((P23+P27+P42)/P10,$K$7+2),"-")</f>
        <v>0.0248</v>
      </c>
      <c r="Q54" s="266">
        <f>+IF(Q10&lt;&gt;0,ROUND((Q23+Q27+Q42)/Q10,$K$7+2),"-")</f>
        <v>0.0255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0.0365</v>
      </c>
      <c r="F55" s="263">
        <f>'Zał.1_WPF_bazowy'!F48</f>
        <v>0.0388</v>
      </c>
      <c r="G55" s="263">
        <f>'Zał.1_WPF_bazowy'!G48</f>
        <v>0.0423</v>
      </c>
      <c r="H55" s="264">
        <f>+IF(H10&lt;&gt;0,ROUND((H23-H24+H27-H28-H29+H42-H43)/(H10-H113),$K$7+2),"-")</f>
        <v>0.0423</v>
      </c>
      <c r="I55" s="265">
        <f>+IF(I10&lt;&gt;0,ROUND((I23-I24+I27-I28-I29+I42-I43)/(I10-I113),$K$7+2),"-")</f>
        <v>0.0405</v>
      </c>
      <c r="J55" s="266">
        <f>+IF(J10&lt;&gt;0,ROUND((J23-J24+J27-J28-J29+J42-J43)/(J10-J113),$K$7+2),"-")</f>
        <v>0.0462</v>
      </c>
      <c r="K55" s="266">
        <f>+IF(K10&lt;&gt;0,ROUND((K23-K24+K27-K28-K29+K42-K43)/(K10-K113),$K$7+2),"-")</f>
        <v>0.0567</v>
      </c>
      <c r="L55" s="266">
        <f>+IF(L10&lt;&gt;0,ROUND((L23-L24+L27-L28-L29+L42-L43)/(L10-L113),$K$7+2),"-")</f>
        <v>0.0517</v>
      </c>
      <c r="M55" s="266">
        <f>+IF(M10&lt;&gt;0,ROUND((M23-M24+M27-M28-M29+M42-M43)/(M10-M113),$K$7+2),"-")</f>
        <v>0.0533</v>
      </c>
      <c r="N55" s="266">
        <f>+IF(N10&lt;&gt;0,ROUND((N23-N24+N27-N28-N29+N42-N43)/(N10-N113),$K$7+2),"-")</f>
        <v>0.0541</v>
      </c>
      <c r="O55" s="266">
        <f>+IF(O10&lt;&gt;0,ROUND((O23-O24+O27-O28-O29+O42-O43)/(O10-O113),$K$7+2),"-")</f>
        <v>0.0296</v>
      </c>
      <c r="P55" s="266">
        <f>+IF(P10&lt;&gt;0,ROUND((P23-P24+P27-P28-P29+P42-P43)/(P10-P113),$K$7+2),"-")</f>
        <v>0.0248</v>
      </c>
      <c r="Q55" s="266">
        <f>+IF(Q10&lt;&gt;0,ROUND((Q23-Q24+Q27-Q28-Q29+Q42-Q43)/(Q10-Q113),$K$7+2),"-")</f>
        <v>0.0255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0.0365</v>
      </c>
      <c r="F57" s="263">
        <f>'Zał.1_WPF_bazowy'!F50</f>
        <v>0.0388</v>
      </c>
      <c r="G57" s="263">
        <f>'Zał.1_WPF_bazowy'!G50</f>
        <v>0.0423</v>
      </c>
      <c r="H57" s="264">
        <f>+IF(H10&lt;&gt;0,ROUND((H23-H24+H27-H28-H29+H42-H43+H56)/(H10-H113),$K$7+2),"-")</f>
        <v>0.0423</v>
      </c>
      <c r="I57" s="265">
        <f>+IF(I10&lt;&gt;0,ROUND((I23-I24+I27-I28-I29+I42-I43+I56)/(I10-I113),$K$7+2),"-")</f>
        <v>0.0405</v>
      </c>
      <c r="J57" s="266">
        <f>+IF(J10&lt;&gt;0,ROUND((J23-J24+J27-J28-J29+J42-J43+J56)/(J10-J113),$K$7+2),"-")</f>
        <v>0.0462</v>
      </c>
      <c r="K57" s="266">
        <f>+IF(K10&lt;&gt;0,ROUND((K23-K24+K27-K28-K29+K42-K43+K56)/(K10-K113),$K$7+2),"-")</f>
        <v>0.0567</v>
      </c>
      <c r="L57" s="266">
        <f>+IF(L10&lt;&gt;0,ROUND((L23-L24+L27-L28-L29+L42-L43+L56)/(L10-L113),$K$7+2),"-")</f>
        <v>0.0517</v>
      </c>
      <c r="M57" s="266">
        <f>+IF(M10&lt;&gt;0,ROUND((M23-M24+M27-M28-M29+M42-M43+M56)/(M10-M113),$K$7+2),"-")</f>
        <v>0.0533</v>
      </c>
      <c r="N57" s="266">
        <f>+IF(N10&lt;&gt;0,ROUND((N23-N24+N27-N28-N29+N42-N43+N56)/(N10-N113),$K$7+2),"-")</f>
        <v>0.0541</v>
      </c>
      <c r="O57" s="266">
        <f>+IF(O10&lt;&gt;0,ROUND((O23-O24+O27-O28-O29+O42-O43+O56)/(O10-O113),$K$7+2),"-")</f>
        <v>0.0296</v>
      </c>
      <c r="P57" s="266">
        <f>+IF(P10&lt;&gt;0,ROUND((P23-P24+P27-P28-P29+P42-P43+P56)/(P10-P113),$K$7+2),"-")</f>
        <v>0.0248</v>
      </c>
      <c r="Q57" s="266">
        <f>+IF(Q10&lt;&gt;0,ROUND((Q23-Q24+Q27-Q28-Q29+Q42-Q43+Q56)/(Q10-Q113),$K$7+2),"-")</f>
        <v>0.0255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0.0721</v>
      </c>
      <c r="F58" s="266">
        <f>+ROUND(IF(AND(F9&gt;=2013,F9&lt;=2018),IF(F10&lt;&gt;0,(F11-F113+F19-F22+F25+F114)/(F10-F113),0),IF(F10&lt;&gt;0,(F11-F113+F19-F22+F114)/(F10-F113),0)),$K$7+2)</f>
        <v>0.0771</v>
      </c>
      <c r="G58" s="266">
        <f>+ROUND(IF(AND(G9&gt;=2013,G9&lt;=2018),IF(G10&lt;&gt;0,(G11-G113+G19-G22+G25+G114)/(G10-G113),0),IF(G10&lt;&gt;0,(G11-G113+G19-G22+G114)/(G10-G113),0)),$K$7+2)</f>
        <v>0.0365</v>
      </c>
      <c r="H58" s="264">
        <f>+ROUND(IF(AND(H9&gt;=2013,H9&lt;=2018),IF(H10&lt;&gt;0,(H11-H113+H19-H22+H25+H114)/(H10-H113),0),IF(H10&lt;&gt;0,(H11-H113+H19-H22+H114)/(H10-H113),0)),$K$7+2)</f>
        <v>0.0365</v>
      </c>
      <c r="I58" s="265">
        <f>+ROUND(IF(AND(I9&gt;=2013,I9&lt;=2018),IF(I10&lt;&gt;0,(I11-I113+I19-I22+I25+I114)/(I10-I113),0),IF(I10&lt;&gt;0,(I11-I113+I19-I22+I114)/(I10-I113),0)),$K$7+2)</f>
        <v>0.0786</v>
      </c>
      <c r="J58" s="266">
        <f>+ROUND(IF(AND(J9&gt;=2013,J9&lt;=2018),IF(J10&lt;&gt;0,(J11-J113+J19-J22+J25+J114)/(J10-J113),0),IF(J10&lt;&gt;0,(J11-J113+J19-J22+J114)/(J10-J113),0)),$K$7+2)</f>
        <v>0.1623</v>
      </c>
      <c r="K58" s="266">
        <f>+ROUND(IF(AND(K9&gt;=2013,K9&lt;=2018),IF(K10&lt;&gt;0,(K11-K113+K19-K22+K25+K114)/(K10-K113),0),IF(K10&lt;&gt;0,(K11-K113+K19-K22+K114)/(K10-K113),0)),$K$7+2)</f>
        <v>0.0932</v>
      </c>
      <c r="L58" s="266">
        <f>+ROUND(IF(AND(L9&gt;=2013,L9&lt;=2018),IF(L10&lt;&gt;0,(L11-L113+L19-L22+L25+L114)/(L10-L113),0),IF(L10&lt;&gt;0,(L11-L113+L19-L22+L114)/(L10-L113),0)),$K$7+2)</f>
        <v>0.1057</v>
      </c>
      <c r="M58" s="266">
        <f>+ROUND(IF(AND(M9&gt;=2013,M9&lt;=2018),IF(M10&lt;&gt;0,(M11-M113+M19-M22+M25+M114)/(M10-M113),0),IF(M10&lt;&gt;0,(M11-M113+M19-M22+M114)/(M10-M113),0)),$K$7+2)</f>
        <v>0.129</v>
      </c>
      <c r="N58" s="266">
        <f>+ROUND(IF(AND(N9&gt;=2013,N9&lt;=2018),IF(N10&lt;&gt;0,(N11-N113+N19-N22+N25+N114)/(N10-N113),0),IF(N10&lt;&gt;0,(N11-N113+N19-N22+N114)/(N10-N113),0)),$K$7+2)</f>
        <v>0.1448</v>
      </c>
      <c r="O58" s="266">
        <f>+ROUND(IF(AND(O9&gt;=2013,O9&lt;=2018),IF(O10&lt;&gt;0,(O11-O113+O19-O22+O25+O114)/(O10-O113),0),IF(O10&lt;&gt;0,(O11-O113+O19-O22+O114)/(O10-O113),0)),$K$7+2)</f>
        <v>0.1597</v>
      </c>
      <c r="P58" s="266">
        <f>+ROUND(IF(AND(P9&gt;=2013,P9&lt;=2018),IF(P10&lt;&gt;0,(P11-P113+P19-P22+P25+P114)/(P10-P113),0),IF(P10&lt;&gt;0,(P11-P113+P19-P22+P114)/(P10-P113),0)),$K$7+2)</f>
        <v>0.1738</v>
      </c>
      <c r="Q58" s="266">
        <f>+ROUND(IF(AND(Q9&gt;=2013,Q9&lt;=2018),IF(Q10&lt;&gt;0,(Q11-Q113+Q19-Q22+Q25+Q114)/(Q10-Q113),0),IF(Q10&lt;&gt;0,(Q11-Q113+Q19-Q22+Q114)/(Q10-Q113),0)),$K$7+2)</f>
        <v>0.1871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0.061900000000000004</v>
      </c>
      <c r="J59" s="266">
        <f>+IF(J10&lt;&gt;0,(I58+G58+F58)/3,"-")</f>
        <v>0.06406666666666667</v>
      </c>
      <c r="K59" s="266">
        <f>+IF(K10&lt;&gt;0,(J58+I58+G58)/3,"-")</f>
        <v>0.09246666666666666</v>
      </c>
      <c r="L59" s="266">
        <f>+IF(L10&lt;&gt;0,(K58+J58+I58)/3,"-")</f>
        <v>0.11136666666666667</v>
      </c>
      <c r="M59" s="266">
        <f>+IF(M10&lt;&gt;0,(L58+K58+J58)/3,"-")</f>
        <v>0.12040000000000001</v>
      </c>
      <c r="N59" s="266">
        <f>+IF(N10&lt;&gt;0,(M58+L58+K58)/3,"-")</f>
        <v>0.10930000000000001</v>
      </c>
      <c r="O59" s="266">
        <f>+IF(O10&lt;&gt;0,(N58+M58+L58)/3,"-")</f>
        <v>0.12650000000000003</v>
      </c>
      <c r="P59" s="266">
        <f>+IF(P10&lt;&gt;0,(O58+N58+M58)/3,"-")</f>
        <v>0.1445</v>
      </c>
      <c r="Q59" s="266">
        <f>+IF(Q10&lt;&gt;0,(P58+O58+N58)/3,"-")</f>
        <v>0.15943333333333334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0.0619</v>
      </c>
      <c r="J60" s="266">
        <f>+IF(J10&lt;&gt;0,ROUND((I58+H58+F58)/3,$K$7+2),"-")</f>
        <v>0.0641</v>
      </c>
      <c r="K60" s="266">
        <f>+IF(K10&lt;&gt;0,ROUND((J58+I58+H58)/3,$K$7+2),"-")</f>
        <v>0.0925</v>
      </c>
      <c r="L60" s="266">
        <f>+IF(L10&lt;&gt;0,ROUND((K58+J58+I58)/3,$K$7+2),"-")</f>
        <v>0.1114</v>
      </c>
      <c r="M60" s="266">
        <f>+IF(M10&lt;&gt;0,ROUND((L58+K58+J58)/3,$K$7+2),"-")</f>
        <v>0.1204</v>
      </c>
      <c r="N60" s="266">
        <f>+IF(N10&lt;&gt;0,ROUND((M58+L58+K58)/3,$K$7+2),"-")</f>
        <v>0.1093</v>
      </c>
      <c r="O60" s="266">
        <f>+IF(O10&lt;&gt;0,ROUND((N58+M58+L58)/3,$K$7+2),"-")</f>
        <v>0.1265</v>
      </c>
      <c r="P60" s="266">
        <f>+IF(P10&lt;&gt;0,ROUND((O58+N58+M58)/3,$K$7+2),"-")</f>
        <v>0.1445</v>
      </c>
      <c r="Q60" s="266">
        <f>+IF(Q10&lt;&gt;0,ROUND((P58+O58+N58)/3,$K$7+2),"-")</f>
        <v>0.1594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1860004</v>
      </c>
      <c r="K63" s="254">
        <f>+'Zał.1_WPF_bazowy'!K56</f>
        <v>2210004</v>
      </c>
      <c r="L63" s="254">
        <f>+'Zał.1_WPF_bazowy'!L56</f>
        <v>2210004</v>
      </c>
      <c r="M63" s="254">
        <f>+'Zał.1_WPF_bazowy'!M56</f>
        <v>2250004</v>
      </c>
      <c r="N63" s="254">
        <f>+'Zał.1_WPF_bazowy'!N56</f>
        <v>2418000</v>
      </c>
      <c r="O63" s="254">
        <f>+'Zał.1_WPF_bazowy'!O56</f>
        <v>1250000</v>
      </c>
      <c r="P63" s="254">
        <f>+'Zał.1_WPF_bazowy'!P56</f>
        <v>1085316.79</v>
      </c>
      <c r="Q63" s="254">
        <f>+'Zał.1_WPF_bazowy'!Q56</f>
        <v>1198341.68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1860004</v>
      </c>
      <c r="K64" s="242">
        <f>+'Zał.1_WPF_bazowy'!K57</f>
        <v>2210004</v>
      </c>
      <c r="L64" s="242">
        <f>+'Zał.1_WPF_bazowy'!L57</f>
        <v>2210004</v>
      </c>
      <c r="M64" s="242">
        <f>+'Zał.1_WPF_bazowy'!M57</f>
        <v>2250004</v>
      </c>
      <c r="N64" s="242">
        <f>+'Zał.1_WPF_bazowy'!N57</f>
        <v>2418000</v>
      </c>
      <c r="O64" s="242">
        <f>+'Zał.1_WPF_bazowy'!O57</f>
        <v>1250000</v>
      </c>
      <c r="P64" s="242">
        <f>+'Zał.1_WPF_bazowy'!P57</f>
        <v>1085316.79</v>
      </c>
      <c r="Q64" s="242">
        <f>+'Zał.1_WPF_bazowy'!Q57</f>
        <v>1198341.68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13617801.27</v>
      </c>
      <c r="F66" s="239">
        <f>'Zał.1_WPF_bazowy'!F59</f>
        <v>14512940.37</v>
      </c>
      <c r="G66" s="239">
        <f>'Zał.1_WPF_bazowy'!G59</f>
        <v>15306692.9</v>
      </c>
      <c r="H66" s="240">
        <f>'Zał.1_WPF_bazowy'!H59</f>
        <v>15306692.9</v>
      </c>
      <c r="I66" s="241">
        <f>+'Zał.1_WPF_bazowy'!I59</f>
        <v>16480094</v>
      </c>
      <c r="J66" s="242">
        <f>+'Zał.1_WPF_bazowy'!J59</f>
        <v>17000000</v>
      </c>
      <c r="K66" s="242">
        <f>+'Zał.1_WPF_bazowy'!K59</f>
        <v>17500000</v>
      </c>
      <c r="L66" s="242">
        <f>+'Zał.1_WPF_bazowy'!L59</f>
        <v>18000000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3294936.64</v>
      </c>
      <c r="F67" s="239">
        <f>'Zał.1_WPF_bazowy'!F60</f>
        <v>3527244.81</v>
      </c>
      <c r="G67" s="239">
        <f>'Zał.1_WPF_bazowy'!G60</f>
        <v>3550700</v>
      </c>
      <c r="H67" s="240">
        <f>'Zał.1_WPF_bazowy'!H60</f>
        <v>3550700</v>
      </c>
      <c r="I67" s="241">
        <f>+'Zał.1_WPF_bazowy'!I60</f>
        <v>3665576</v>
      </c>
      <c r="J67" s="242">
        <f>+'Zał.1_WPF_bazowy'!J60</f>
        <v>3680000</v>
      </c>
      <c r="K67" s="242">
        <f>+'Zał.1_WPF_bazowy'!K60</f>
        <v>3750000</v>
      </c>
      <c r="L67" s="242">
        <f>+'Zał.1_WPF_bazowy'!L60</f>
        <v>3820000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1134356.98</v>
      </c>
      <c r="F68" s="239">
        <f>'Zał.1_WPF_bazowy'!F61</f>
        <v>136459</v>
      </c>
      <c r="G68" s="239">
        <f>'Zał.1_WPF_bazowy'!G61</f>
        <v>330602.39</v>
      </c>
      <c r="H68" s="246">
        <f>+H69+H70</f>
        <v>330602.39</v>
      </c>
      <c r="I68" s="247">
        <f>+I69+I70</f>
        <v>241869.97</v>
      </c>
      <c r="J68" s="248">
        <f>+J69+J70</f>
        <v>3785773.46</v>
      </c>
      <c r="K68" s="248">
        <f>+K69+K70</f>
        <v>1142746.05</v>
      </c>
      <c r="L68" s="248">
        <f>+L69+L70</f>
        <v>5902772.01</v>
      </c>
      <c r="M68" s="248">
        <f>+M69+M70</f>
        <v>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1088556.98</v>
      </c>
      <c r="F69" s="239">
        <f>'Zał.1_WPF_bazowy'!F62</f>
        <v>13202.21</v>
      </c>
      <c r="G69" s="239">
        <f>'Zał.1_WPF_bazowy'!G62</f>
        <v>205602.39</v>
      </c>
      <c r="H69" s="240">
        <f>'Zał.1_WPF_bazowy'!H62</f>
        <v>205602.39</v>
      </c>
      <c r="I69" s="241">
        <f>+'Zał.1_WPF_bazowy'!I62</f>
        <v>216869.97</v>
      </c>
      <c r="J69" s="242">
        <f>+'Zał.1_WPF_bazowy'!J62</f>
        <v>115300</v>
      </c>
      <c r="K69" s="242">
        <f>+'Zał.1_WPF_bazowy'!K62</f>
        <v>20300</v>
      </c>
      <c r="L69" s="242">
        <f>+'Zał.1_WPF_bazowy'!L62</f>
        <v>30140</v>
      </c>
      <c r="M69" s="242">
        <f>+'Zał.1_WPF_bazowy'!M62</f>
        <v>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45800</v>
      </c>
      <c r="F70" s="239">
        <f>'Zał.1_WPF_bazowy'!F63</f>
        <v>123256.79</v>
      </c>
      <c r="G70" s="239">
        <f>'Zał.1_WPF_bazowy'!G63</f>
        <v>125000</v>
      </c>
      <c r="H70" s="240">
        <f>'Zał.1_WPF_bazowy'!H63</f>
        <v>125000</v>
      </c>
      <c r="I70" s="241">
        <f>+'Zał.1_WPF_bazowy'!I63</f>
        <v>25000</v>
      </c>
      <c r="J70" s="242">
        <f>+'Zał.1_WPF_bazowy'!J63</f>
        <v>3670473.46</v>
      </c>
      <c r="K70" s="242">
        <f>+'Zał.1_WPF_bazowy'!K63</f>
        <v>1122446.05</v>
      </c>
      <c r="L70" s="242">
        <f>+'Zał.1_WPF_bazowy'!L63</f>
        <v>5872632.01</v>
      </c>
      <c r="M70" s="242">
        <f>+'Zał.1_WPF_bazowy'!M63</f>
        <v>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6393745.12</v>
      </c>
      <c r="F71" s="239">
        <f>'Zał.1_WPF_bazowy'!F64</f>
        <v>1183192.58</v>
      </c>
      <c r="G71" s="239">
        <f>'Zał.1_WPF_bazowy'!G64</f>
        <v>4148462.79</v>
      </c>
      <c r="H71" s="240">
        <f>'Zał.1_WPF_bazowy'!H64</f>
        <v>4148462.79</v>
      </c>
      <c r="I71" s="241">
        <f>+'Zał.1_WPF_bazowy'!I64</f>
        <v>6778558.93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769350.15</v>
      </c>
      <c r="F72" s="239">
        <f>'Zał.1_WPF_bazowy'!F65</f>
        <v>1290333.11</v>
      </c>
      <c r="G72" s="239">
        <f>'Zał.1_WPF_bazowy'!G65</f>
        <v>1919000</v>
      </c>
      <c r="H72" s="240">
        <f>'Zał.1_WPF_bazowy'!H65</f>
        <v>1919000</v>
      </c>
      <c r="I72" s="241">
        <f>+'Zał.1_WPF_bazowy'!I65</f>
        <v>6228767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636400</v>
      </c>
      <c r="F73" s="239">
        <f>'Zał.1_WPF_bazowy'!F66</f>
        <v>70000</v>
      </c>
      <c r="G73" s="239">
        <f>'Zał.1_WPF_bazowy'!G66</f>
        <v>626166</v>
      </c>
      <c r="H73" s="240">
        <f>'Zał.1_WPF_bazowy'!H66</f>
        <v>626166</v>
      </c>
      <c r="I73" s="241">
        <f>+'Zał.1_WPF_bazowy'!I66</f>
        <v>1029907.2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442102.38</v>
      </c>
      <c r="F75" s="239">
        <f>'Zał.1_WPF_bazowy'!F68</f>
        <v>495546.2</v>
      </c>
      <c r="G75" s="239">
        <f>'Zał.1_WPF_bazowy'!G68</f>
        <v>80146.03</v>
      </c>
      <c r="H75" s="240">
        <f>'Zał.1_WPF_bazowy'!H68</f>
        <v>80146.03</v>
      </c>
      <c r="I75" s="241">
        <f>+'Zał.1_WPF_bazowy'!I68</f>
        <v>131258.67</v>
      </c>
      <c r="J75" s="242">
        <f>+'Zał.1_WPF_bazowy'!J68</f>
        <v>12240</v>
      </c>
      <c r="K75" s="242">
        <f>+'Zał.1_WPF_bazowy'!K68</f>
        <v>12240</v>
      </c>
      <c r="L75" s="242">
        <f>+'Zał.1_WPF_bazowy'!L68</f>
        <v>17680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400393.51</v>
      </c>
      <c r="F76" s="239">
        <f>'Zał.1_WPF_bazowy'!F69</f>
        <v>431833.84</v>
      </c>
      <c r="G76" s="239">
        <f>'Zał.1_WPF_bazowy'!G69</f>
        <v>80146.03</v>
      </c>
      <c r="H76" s="240">
        <f>'Zał.1_WPF_bazowy'!H69</f>
        <v>80146.03</v>
      </c>
      <c r="I76" s="241">
        <f>+'Zał.1_WPF_bazowy'!I69</f>
        <v>131258.67</v>
      </c>
      <c r="J76" s="242">
        <f>+'Zał.1_WPF_bazowy'!J69</f>
        <v>12240</v>
      </c>
      <c r="K76" s="242">
        <f>+'Zał.1_WPF_bazowy'!K69</f>
        <v>12240</v>
      </c>
      <c r="L76" s="242">
        <f>+'Zał.1_WPF_bazowy'!L69</f>
        <v>17680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400393.51</v>
      </c>
      <c r="F77" s="239">
        <f>'Zał.1_WPF_bazowy'!F70</f>
        <v>431833.84</v>
      </c>
      <c r="G77" s="239">
        <f>'Zał.1_WPF_bazowy'!G70</f>
        <v>80146.03</v>
      </c>
      <c r="H77" s="240">
        <f>'Zał.1_WPF_bazowy'!H70</f>
        <v>80146.03</v>
      </c>
      <c r="I77" s="241">
        <f>+'Zał.1_WPF_bazowy'!I70</f>
        <v>131258.67</v>
      </c>
      <c r="J77" s="242">
        <f>+'Zał.1_WPF_bazowy'!J70</f>
        <v>12240</v>
      </c>
      <c r="K77" s="242">
        <f>+'Zał.1_WPF_bazowy'!K70</f>
        <v>12240</v>
      </c>
      <c r="L77" s="242">
        <f>+'Zał.1_WPF_bazowy'!L70</f>
        <v>17680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83947.5</v>
      </c>
      <c r="F78" s="239">
        <f>'Zał.1_WPF_bazowy'!F71</f>
        <v>688086.58</v>
      </c>
      <c r="G78" s="239">
        <f>'Zał.1_WPF_bazowy'!G71</f>
        <v>799078.34</v>
      </c>
      <c r="H78" s="240">
        <f>'Zał.1_WPF_bazowy'!H71</f>
        <v>799078.34</v>
      </c>
      <c r="I78" s="241">
        <f>+'Zał.1_WPF_bazowy'!I71</f>
        <v>4248465.75</v>
      </c>
      <c r="J78" s="242">
        <f>+'Zał.1_WPF_bazowy'!J71</f>
        <v>1173704.15</v>
      </c>
      <c r="K78" s="242">
        <f>+'Zał.1_WPF_bazowy'!K71</f>
        <v>617916.14</v>
      </c>
      <c r="L78" s="242">
        <f>+'Zał.1_WPF_bazowy'!L71</f>
        <v>2977629.81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83947.5</v>
      </c>
      <c r="F79" s="239">
        <f>'Zał.1_WPF_bazowy'!F72</f>
        <v>688086.58</v>
      </c>
      <c r="G79" s="239">
        <f>'Zał.1_WPF_bazowy'!G72</f>
        <v>799078.34</v>
      </c>
      <c r="H79" s="240">
        <f>'Zał.1_WPF_bazowy'!H72</f>
        <v>799078.34</v>
      </c>
      <c r="I79" s="241">
        <f>+'Zał.1_WPF_bazowy'!I72</f>
        <v>4248465.75</v>
      </c>
      <c r="J79" s="242">
        <f>+'Zał.1_WPF_bazowy'!J72</f>
        <v>1173704.15</v>
      </c>
      <c r="K79" s="242">
        <f>+'Zał.1_WPF_bazowy'!K72</f>
        <v>617916.14</v>
      </c>
      <c r="L79" s="242">
        <f>+'Zał.1_WPF_bazowy'!L72</f>
        <v>2977629.81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83947.5</v>
      </c>
      <c r="F80" s="239">
        <f>'Zał.1_WPF_bazowy'!F73</f>
        <v>688086.58</v>
      </c>
      <c r="G80" s="239">
        <f>'Zał.1_WPF_bazowy'!G73</f>
        <v>799078.34</v>
      </c>
      <c r="H80" s="240">
        <f>'Zał.1_WPF_bazowy'!H73</f>
        <v>799078.34</v>
      </c>
      <c r="I80" s="241">
        <f>+'Zał.1_WPF_bazowy'!I73</f>
        <v>4248465.75</v>
      </c>
      <c r="J80" s="242">
        <f>+'Zał.1_WPF_bazowy'!J73</f>
        <v>1173704.15</v>
      </c>
      <c r="K80" s="242">
        <f>+'Zał.1_WPF_bazowy'!K73</f>
        <v>617916.14</v>
      </c>
      <c r="L80" s="242">
        <f>+'Zał.1_WPF_bazowy'!L73</f>
        <v>2977629.81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841425.08</v>
      </c>
      <c r="F81" s="239">
        <f>'Zał.1_WPF_bazowy'!F74</f>
        <v>13202.21</v>
      </c>
      <c r="G81" s="239">
        <f>'Zał.1_WPF_bazowy'!G74</f>
        <v>96452.37</v>
      </c>
      <c r="H81" s="240">
        <f>'Zał.1_WPF_bazowy'!H74</f>
        <v>96452.37</v>
      </c>
      <c r="I81" s="241">
        <f>+'Zał.1_WPF_bazowy'!I74</f>
        <v>130873.56</v>
      </c>
      <c r="J81" s="242">
        <f>+'Zał.1_WPF_bazowy'!J74</f>
        <v>20300</v>
      </c>
      <c r="K81" s="242">
        <f>+'Zał.1_WPF_bazowy'!K74</f>
        <v>20300</v>
      </c>
      <c r="L81" s="242">
        <f>+'Zał.1_WPF_bazowy'!L74</f>
        <v>30140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677483.94</v>
      </c>
      <c r="F82" s="239">
        <f>'Zał.1_WPF_bazowy'!F75</f>
        <v>8774.97</v>
      </c>
      <c r="G82" s="239">
        <f>'Zał.1_WPF_bazowy'!G75</f>
        <v>80146.03</v>
      </c>
      <c r="H82" s="240">
        <f>'Zał.1_WPF_bazowy'!H75</f>
        <v>80146.03</v>
      </c>
      <c r="I82" s="241">
        <f>+'Zał.1_WPF_bazowy'!I75</f>
        <v>88679.42</v>
      </c>
      <c r="J82" s="242">
        <f>+'Zał.1_WPF_bazowy'!J75</f>
        <v>12240</v>
      </c>
      <c r="K82" s="242">
        <f>+'Zał.1_WPF_bazowy'!K75</f>
        <v>12240</v>
      </c>
      <c r="L82" s="242">
        <f>+'Zał.1_WPF_bazowy'!L75</f>
        <v>17680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841425.08</v>
      </c>
      <c r="F83" s="239">
        <f>'Zał.1_WPF_bazowy'!F76</f>
        <v>13202.21</v>
      </c>
      <c r="G83" s="239">
        <f>'Zał.1_WPF_bazowy'!G76</f>
        <v>96452.37</v>
      </c>
      <c r="H83" s="240">
        <f>'Zał.1_WPF_bazowy'!H76</f>
        <v>96452.37</v>
      </c>
      <c r="I83" s="241">
        <f>+'Zał.1_WPF_bazowy'!I76</f>
        <v>130873.56</v>
      </c>
      <c r="J83" s="242">
        <f>+'Zał.1_WPF_bazowy'!J76</f>
        <v>20300</v>
      </c>
      <c r="K83" s="242">
        <f>+'Zał.1_WPF_bazowy'!K76</f>
        <v>20300</v>
      </c>
      <c r="L83" s="242">
        <f>+'Zał.1_WPF_bazowy'!L76</f>
        <v>30140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27120</v>
      </c>
      <c r="F84" s="239">
        <f>'Zał.1_WPF_bazowy'!F77</f>
        <v>0</v>
      </c>
      <c r="G84" s="239">
        <f>'Zał.1_WPF_bazowy'!G77</f>
        <v>1540718.69</v>
      </c>
      <c r="H84" s="240">
        <f>'Zał.1_WPF_bazowy'!H77</f>
        <v>1540718.69</v>
      </c>
      <c r="I84" s="241">
        <f>+'Zał.1_WPF_bazowy'!I77</f>
        <v>6778558.93</v>
      </c>
      <c r="J84" s="242">
        <f>+'Zał.1_WPF_bazowy'!J77</f>
        <v>2989473.46</v>
      </c>
      <c r="K84" s="242">
        <f>+'Zał.1_WPF_bazowy'!K77</f>
        <v>1122446.05</v>
      </c>
      <c r="L84" s="242">
        <f>+'Zał.1_WPF_bazowy'!L77</f>
        <v>5872632.01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27120</v>
      </c>
      <c r="F85" s="239">
        <f>'Zał.1_WPF_bazowy'!F78</f>
        <v>0</v>
      </c>
      <c r="G85" s="239">
        <f>'Zał.1_WPF_bazowy'!G78</f>
        <v>767543.08</v>
      </c>
      <c r="H85" s="240">
        <f>'Zał.1_WPF_bazowy'!H78</f>
        <v>767543.08</v>
      </c>
      <c r="I85" s="241">
        <f>+'Zał.1_WPF_bazowy'!I78</f>
        <v>4037531.39</v>
      </c>
      <c r="J85" s="242">
        <f>+'Zał.1_WPF_bazowy'!J78</f>
        <v>1173704.15</v>
      </c>
      <c r="K85" s="242">
        <f>+'Zał.1_WPF_bazowy'!K78</f>
        <v>617916.14</v>
      </c>
      <c r="L85" s="242">
        <f>+'Zał.1_WPF_bazowy'!L78</f>
        <v>2977629.81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27120</v>
      </c>
      <c r="F86" s="239">
        <f>'Zał.1_WPF_bazowy'!F79</f>
        <v>0</v>
      </c>
      <c r="G86" s="239">
        <f>'Zał.1_WPF_bazowy'!G79</f>
        <v>1540718.69</v>
      </c>
      <c r="H86" s="240">
        <f>'Zał.1_WPF_bazowy'!H79</f>
        <v>1540718.69</v>
      </c>
      <c r="I86" s="241">
        <f>+'Zał.1_WPF_bazowy'!I79</f>
        <v>6778558.93</v>
      </c>
      <c r="J86" s="242">
        <f>+'Zał.1_WPF_bazowy'!J79</f>
        <v>2989473.46</v>
      </c>
      <c r="K86" s="242">
        <f>+'Zał.1_WPF_bazowy'!K79</f>
        <v>1122446.05</v>
      </c>
      <c r="L86" s="242">
        <f>+'Zał.1_WPF_bazowy'!L79</f>
        <v>5872632.01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4457.24</v>
      </c>
      <c r="G87" s="239">
        <f>'Zał.1_WPF_bazowy'!G80</f>
        <v>789481.95</v>
      </c>
      <c r="H87" s="240">
        <f>'Zał.1_WPF_bazowy'!H80</f>
        <v>789491.95</v>
      </c>
      <c r="I87" s="241">
        <f>+'Zał.1_WPF_bazowy'!I80</f>
        <v>2783221.68</v>
      </c>
      <c r="J87" s="242">
        <f>+'Zał.1_WPF_bazowy'!J80</f>
        <v>1823829.31</v>
      </c>
      <c r="K87" s="242">
        <f>+'Zał.1_WPF_bazowy'!K80</f>
        <v>512589.91</v>
      </c>
      <c r="L87" s="242">
        <f>+'Zał.1_WPF_bazowy'!L80</f>
        <v>2907462.21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4457.24</v>
      </c>
      <c r="G88" s="239">
        <f>'Zał.1_WPF_bazowy'!G81</f>
        <v>789481.95</v>
      </c>
      <c r="H88" s="240">
        <f>'Zał.1_WPF_bazowy'!H81</f>
        <v>789481.95</v>
      </c>
      <c r="I88" s="241">
        <f>+'Zał.1_WPF_bazowy'!I81</f>
        <v>2783221.68</v>
      </c>
      <c r="J88" s="242">
        <f>+'Zał.1_WPF_bazowy'!J81</f>
        <v>1823829.31</v>
      </c>
      <c r="K88" s="242">
        <f>+'Zał.1_WPF_bazowy'!K81</f>
        <v>512589.91</v>
      </c>
      <c r="L88" s="242">
        <f>+'Zał.1_WPF_bazowy'!L81</f>
        <v>2907462.21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915692</v>
      </c>
      <c r="F104" s="239">
        <f>'Zał.1_WPF_bazowy'!F97</f>
        <v>1215692</v>
      </c>
      <c r="G104" s="239">
        <f>'Zał.1_WPF_bazowy'!G97</f>
        <v>0</v>
      </c>
      <c r="H104" s="240">
        <f>'Zał.1_WPF_bazowy'!H97</f>
        <v>0</v>
      </c>
      <c r="I104" s="241">
        <f>+'Zał.1_WPF_bazowy'!I97</f>
        <v>1678204</v>
      </c>
      <c r="J104" s="242">
        <f>+'Zał.1_WPF_bazowy'!J97</f>
        <v>1860004</v>
      </c>
      <c r="K104" s="242">
        <f>+'Zał.1_WPF_bazowy'!K97</f>
        <v>2210004</v>
      </c>
      <c r="L104" s="242">
        <f>+'Zał.1_WPF_bazowy'!L97</f>
        <v>2210004</v>
      </c>
      <c r="M104" s="242">
        <f>+'Zał.1_WPF_bazowy'!M97</f>
        <v>2250004</v>
      </c>
      <c r="N104" s="242">
        <f>+'Zał.1_WPF_bazowy'!N97</f>
        <v>2418000</v>
      </c>
      <c r="O104" s="242">
        <f>+'Zał.1_WPF_bazowy'!O97</f>
        <v>1250000</v>
      </c>
      <c r="P104" s="242">
        <f>+'Zał.1_WPF_bazowy'!P97</f>
        <v>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8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8"/>
      <c r="F125" s="108"/>
      <c r="G125" s="108"/>
      <c r="H125" s="108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8"/>
      <c r="F126" s="108"/>
      <c r="G126" s="108"/>
      <c r="H126" s="108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8"/>
      <c r="F127" s="108"/>
      <c r="G127" s="108"/>
      <c r="H127" s="108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8"/>
      <c r="F128" s="108"/>
      <c r="G128" s="108"/>
      <c r="H128" s="108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37229518.089999996</v>
      </c>
      <c r="F189" s="159">
        <f>F11+F18</f>
        <v>43743152.89</v>
      </c>
      <c r="G189" s="159">
        <f>G11+G18</f>
        <v>46452958.09</v>
      </c>
      <c r="H189" s="160">
        <f>H11+H18</f>
        <v>46452958.09</v>
      </c>
      <c r="I189" s="161">
        <f>I11+I18</f>
        <v>54980344.620000005</v>
      </c>
      <c r="J189" s="162">
        <f>J11+J18</f>
        <v>51453993.15</v>
      </c>
      <c r="K189" s="162">
        <f>K11+K18</f>
        <v>47217916.14</v>
      </c>
      <c r="L189" s="162">
        <f>L11+L18</f>
        <v>51077629.81</v>
      </c>
      <c r="M189" s="162">
        <f>M11+M18</f>
        <v>49600000</v>
      </c>
      <c r="N189" s="162">
        <f>N11+N18</f>
        <v>51100000</v>
      </c>
      <c r="O189" s="162">
        <f>O11+O18</f>
        <v>52600000</v>
      </c>
      <c r="P189" s="162">
        <f>P11+P18</f>
        <v>54100000</v>
      </c>
      <c r="Q189" s="162">
        <f>Q11+Q18</f>
        <v>55600000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39803316.09</v>
      </c>
      <c r="F190" s="165">
        <f>F22+F30</f>
        <v>42519012.059999995</v>
      </c>
      <c r="G190" s="165">
        <f>G22+G30</f>
        <v>47672428.089999996</v>
      </c>
      <c r="H190" s="166">
        <f>H22+H30</f>
        <v>47672428.089999996</v>
      </c>
      <c r="I190" s="167">
        <f>I22+I30</f>
        <v>55300482.300000004</v>
      </c>
      <c r="J190" s="168">
        <f>J22+J30</f>
        <v>49593989.15</v>
      </c>
      <c r="K190" s="168">
        <f>K22+K30</f>
        <v>45007912.14</v>
      </c>
      <c r="L190" s="168">
        <f>L22+L30</f>
        <v>48867625.81</v>
      </c>
      <c r="M190" s="168">
        <f>M22+M30</f>
        <v>47349996</v>
      </c>
      <c r="N190" s="168">
        <f>N22+N30</f>
        <v>48682000</v>
      </c>
      <c r="O190" s="168">
        <f>O22+O30</f>
        <v>51350000</v>
      </c>
      <c r="P190" s="168">
        <f>P22+P30</f>
        <v>53014683.21</v>
      </c>
      <c r="Q190" s="168">
        <f>Q22+Q30</f>
        <v>54401658.32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-2573798</v>
      </c>
      <c r="F191" s="165">
        <f>F10-F21</f>
        <v>1224140.8299999982</v>
      </c>
      <c r="G191" s="165">
        <f>G10-G21</f>
        <v>-1219470</v>
      </c>
      <c r="H191" s="166">
        <f>H10-H21</f>
        <v>-1219469.9999999925</v>
      </c>
      <c r="I191" s="167">
        <f>I10-I21</f>
        <v>-320137.6799999997</v>
      </c>
      <c r="J191" s="168">
        <f>J10-J21</f>
        <v>1860004</v>
      </c>
      <c r="K191" s="168">
        <f>K10-K21</f>
        <v>2210004</v>
      </c>
      <c r="L191" s="168">
        <f>L10-L21</f>
        <v>2210004</v>
      </c>
      <c r="M191" s="168">
        <f>M10-M21</f>
        <v>2250004</v>
      </c>
      <c r="N191" s="168">
        <f>N10-N21</f>
        <v>2418000</v>
      </c>
      <c r="O191" s="168">
        <f>O10-O21</f>
        <v>1250000</v>
      </c>
      <c r="P191" s="168">
        <f>P10-P21</f>
        <v>1085316.789999999</v>
      </c>
      <c r="Q191" s="168">
        <f>Q10-Q21</f>
        <v>1198341.6799999997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15354424</v>
      </c>
      <c r="G192" s="171" t="s">
        <v>8</v>
      </c>
      <c r="H192" s="166">
        <f>F48+H37-H42+(H105-F105)+H110</f>
        <v>14161536.79</v>
      </c>
      <c r="I192" s="167">
        <f>H48+I37-I42+(I105-H105)+I110</f>
        <v>14481674.469999999</v>
      </c>
      <c r="J192" s="168">
        <f>I48+J37-J42+(J105-I105)+J110</f>
        <v>12621670.469999999</v>
      </c>
      <c r="K192" s="168">
        <f>J48+K37-K42+(K105-J105)+K110</f>
        <v>10411666.469999999</v>
      </c>
      <c r="L192" s="168">
        <f>K48+L37-L42+(L105-K105)+L110</f>
        <v>8201662.469999999</v>
      </c>
      <c r="M192" s="168">
        <f>L48+M37-M42+(M105-L105)+M110</f>
        <v>5951658.469999999</v>
      </c>
      <c r="N192" s="168">
        <f>M48+N37-N42+(N105-M105)+N110</f>
        <v>3533658.469999999</v>
      </c>
      <c r="O192" s="168">
        <f>N48+O37-O42+(O105-N105)+O110</f>
        <v>2283658.469999999</v>
      </c>
      <c r="P192" s="168">
        <f>O48+P37-P42+(P105-O105)+P110</f>
        <v>1198341.6799999988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0.021400000000000002</v>
      </c>
      <c r="J200" s="195">
        <f>+IF(J10=0,"",J59-J54)</f>
        <v>0.017866666666666677</v>
      </c>
      <c r="K200" s="195">
        <f>+IF(K10=0,"",K59-K54)</f>
        <v>0.035766666666666655</v>
      </c>
      <c r="L200" s="195">
        <f>+IF(L10=0,"",L59-L54)</f>
        <v>0.059666666666666666</v>
      </c>
      <c r="M200" s="195">
        <f>+IF(M10=0,"",M59-M54)</f>
        <v>0.0671</v>
      </c>
      <c r="N200" s="195">
        <f>+IF(N10=0,"",N59-N54)</f>
        <v>0.055200000000000006</v>
      </c>
      <c r="O200" s="195">
        <f>+IF(O10=0,"",O59-O54)</f>
        <v>0.09690000000000003</v>
      </c>
      <c r="P200" s="195">
        <f>+IF(P10=0,"",P59-P54)</f>
        <v>0.11969999999999999</v>
      </c>
      <c r="Q200" s="195">
        <f>+IF(Q10=0,"",Q59-Q54)</f>
        <v>0.13393333333333335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0.021400000000000002</v>
      </c>
      <c r="J201" s="201">
        <f>+IF(J10=0,"",J59-J55)</f>
        <v>0.017866666666666677</v>
      </c>
      <c r="K201" s="201">
        <f>+IF(K10=0,"",K59-K55)</f>
        <v>0.035766666666666655</v>
      </c>
      <c r="L201" s="201">
        <f>+IF(L10=0,"",L59-L55)</f>
        <v>0.059666666666666666</v>
      </c>
      <c r="M201" s="201">
        <f>+IF(M10=0,"",M59-M55)</f>
        <v>0.0671</v>
      </c>
      <c r="N201" s="201">
        <f>+IF(N10=0,"",N59-N55)</f>
        <v>0.055200000000000006</v>
      </c>
      <c r="O201" s="201">
        <f>+IF(O10=0,"",O59-O55)</f>
        <v>0.09690000000000003</v>
      </c>
      <c r="P201" s="201">
        <f>+IF(P10=0,"",P59-P55)</f>
        <v>0.11969999999999999</v>
      </c>
      <c r="Q201" s="201">
        <f>+IF(Q10=0,"",Q59-Q55)</f>
        <v>0.13393333333333335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0.021399999999999995</v>
      </c>
      <c r="J202" s="195">
        <f>+IF(J10=0,"",J60-J54)</f>
        <v>0.017900000000000006</v>
      </c>
      <c r="K202" s="195">
        <f>+IF(K10=0,"",K60-K54)</f>
        <v>0.0358</v>
      </c>
      <c r="L202" s="195">
        <f>+IF(L10=0,"",L60-L54)</f>
        <v>0.059699999999999996</v>
      </c>
      <c r="M202" s="195">
        <f>+IF(M10=0,"",M60-M54)</f>
        <v>0.06709999999999999</v>
      </c>
      <c r="N202" s="195">
        <f>+IF(N10=0,"",N60-N54)</f>
        <v>0.05519999999999999</v>
      </c>
      <c r="O202" s="195">
        <f>+IF(O10=0,"",O60-O54)</f>
        <v>0.0969</v>
      </c>
      <c r="P202" s="195">
        <f>+IF(P10=0,"",P60-P54)</f>
        <v>0.11969999999999999</v>
      </c>
      <c r="Q202" s="195">
        <f>+IF(Q10=0,"",Q60-Q54)</f>
        <v>0.1339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0.021399999999999995</v>
      </c>
      <c r="J203" s="201">
        <f>+IF(J10=0,"",J60-J55)</f>
        <v>0.017900000000000006</v>
      </c>
      <c r="K203" s="201">
        <f>+IF(K10=0,"",K60-K55)</f>
        <v>0.0358</v>
      </c>
      <c r="L203" s="201">
        <f>+IF(L10=0,"",L60-L55)</f>
        <v>0.059699999999999996</v>
      </c>
      <c r="M203" s="201">
        <f>+IF(M10=0,"",M60-M55)</f>
        <v>0.06709999999999999</v>
      </c>
      <c r="N203" s="201">
        <f>+IF(N10=0,"",N60-N55)</f>
        <v>0.05519999999999999</v>
      </c>
      <c r="O203" s="201">
        <f>+IF(O10=0,"",O60-O55)</f>
        <v>0.0969</v>
      </c>
      <c r="P203" s="201">
        <f>+IF(P10=0,"",P60-P55)</f>
        <v>0.11969999999999999</v>
      </c>
      <c r="Q203" s="201">
        <f>+IF(Q10=0,"",Q60-Q55)</f>
        <v>0.1339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B1:Q114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activeCellId="1" sqref="B1:Q114 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B1:Q11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2018</v>
      </c>
      <c r="P1" t="s">
        <v>458</v>
      </c>
      <c r="Q1">
        <f>MAX(M:M)</f>
        <v>2026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2018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5</v>
      </c>
      <c r="M4" s="343">
        <v>2023</v>
      </c>
      <c r="N4" s="344">
        <v>0</v>
      </c>
      <c r="O4" s="345">
        <v>43125</v>
      </c>
      <c r="P4" s="345">
        <v>43125</v>
      </c>
    </row>
    <row r="5" spans="1:16" ht="14.25">
      <c r="A5" s="339">
        <v>2018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4</v>
      </c>
      <c r="M5" s="343">
        <v>2022</v>
      </c>
      <c r="N5" s="344">
        <v>0</v>
      </c>
      <c r="O5" s="345">
        <v>43125</v>
      </c>
      <c r="P5" s="345">
        <v>43125</v>
      </c>
    </row>
    <row r="6" spans="1:16" ht="14.25">
      <c r="A6" s="339">
        <v>2018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8</v>
      </c>
      <c r="M6" s="343">
        <v>2026</v>
      </c>
      <c r="N6" s="344">
        <v>0</v>
      </c>
      <c r="O6" s="345">
        <v>43125</v>
      </c>
      <c r="P6" s="345">
        <v>43125</v>
      </c>
    </row>
    <row r="7" spans="1:16" ht="14.25">
      <c r="A7" s="339">
        <v>2018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2021</v>
      </c>
      <c r="N7" s="344">
        <v>0</v>
      </c>
      <c r="O7" s="345">
        <v>43125</v>
      </c>
      <c r="P7" s="345">
        <v>43125</v>
      </c>
    </row>
    <row r="8" spans="1:16" ht="14.25">
      <c r="A8" s="339">
        <v>2018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6</v>
      </c>
      <c r="M8" s="343">
        <v>2024</v>
      </c>
      <c r="N8" s="344">
        <v>0</v>
      </c>
      <c r="O8" s="345">
        <v>43125</v>
      </c>
      <c r="P8" s="345">
        <v>43125</v>
      </c>
    </row>
    <row r="9" spans="1:16" ht="14.25">
      <c r="A9" s="339">
        <v>2018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0</v>
      </c>
      <c r="M9" s="343">
        <v>2018</v>
      </c>
      <c r="N9" s="344">
        <v>0</v>
      </c>
      <c r="O9" s="345">
        <v>43125</v>
      </c>
      <c r="P9" s="345">
        <v>43125</v>
      </c>
    </row>
    <row r="10" spans="1:16" ht="14.25">
      <c r="A10" s="339">
        <v>2018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2</v>
      </c>
      <c r="M10" s="343">
        <v>2020</v>
      </c>
      <c r="N10" s="344">
        <v>0</v>
      </c>
      <c r="O10" s="345">
        <v>43125</v>
      </c>
      <c r="P10" s="345">
        <v>43125</v>
      </c>
    </row>
    <row r="11" spans="1:16" ht="14.25">
      <c r="A11" s="339">
        <v>2018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7</v>
      </c>
      <c r="M11" s="343">
        <v>2025</v>
      </c>
      <c r="N11" s="344">
        <v>0</v>
      </c>
      <c r="O11" s="345">
        <v>43125</v>
      </c>
      <c r="P11" s="345">
        <v>43125</v>
      </c>
    </row>
    <row r="12" spans="1:16" ht="14.25">
      <c r="A12" s="339">
        <v>2018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1</v>
      </c>
      <c r="M12" s="343">
        <v>2019</v>
      </c>
      <c r="N12" s="344">
        <v>0</v>
      </c>
      <c r="O12" s="345">
        <v>43125</v>
      </c>
      <c r="P12" s="345">
        <v>43125</v>
      </c>
    </row>
    <row r="13" spans="1:16" ht="14.25">
      <c r="A13" s="339">
        <v>2018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7</v>
      </c>
      <c r="M13" s="343">
        <v>2025</v>
      </c>
      <c r="N13" s="344">
        <v>0</v>
      </c>
      <c r="O13" s="345">
        <v>43125</v>
      </c>
      <c r="P13" s="345">
        <v>43125</v>
      </c>
    </row>
    <row r="14" spans="1:16" ht="14.25">
      <c r="A14" s="339">
        <v>2018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5</v>
      </c>
      <c r="M14" s="343">
        <v>2023</v>
      </c>
      <c r="N14" s="344">
        <v>0</v>
      </c>
      <c r="O14" s="345">
        <v>43125</v>
      </c>
      <c r="P14" s="345">
        <v>43125</v>
      </c>
    </row>
    <row r="15" spans="1:16" ht="14.25">
      <c r="A15" s="339">
        <v>2018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6</v>
      </c>
      <c r="M15" s="343">
        <v>2024</v>
      </c>
      <c r="N15" s="344">
        <v>0</v>
      </c>
      <c r="O15" s="345">
        <v>43125</v>
      </c>
      <c r="P15" s="345">
        <v>43125</v>
      </c>
    </row>
    <row r="16" spans="1:16" ht="14.25">
      <c r="A16" s="339">
        <v>2018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4</v>
      </c>
      <c r="M16" s="343">
        <v>2022</v>
      </c>
      <c r="N16" s="344">
        <v>0</v>
      </c>
      <c r="O16" s="345">
        <v>43125</v>
      </c>
      <c r="P16" s="345">
        <v>43125</v>
      </c>
    </row>
    <row r="17" spans="1:16" ht="14.25">
      <c r="A17" s="339">
        <v>2018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2</v>
      </c>
      <c r="M17" s="343">
        <v>2020</v>
      </c>
      <c r="N17" s="344">
        <v>0</v>
      </c>
      <c r="O17" s="345">
        <v>43125</v>
      </c>
      <c r="P17" s="345">
        <v>43125</v>
      </c>
    </row>
    <row r="18" spans="1:16" ht="14.25">
      <c r="A18" s="339">
        <v>2018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8</v>
      </c>
      <c r="M18" s="343">
        <v>2026</v>
      </c>
      <c r="N18" s="344">
        <v>0</v>
      </c>
      <c r="O18" s="345">
        <v>43125</v>
      </c>
      <c r="P18" s="345">
        <v>43125</v>
      </c>
    </row>
    <row r="19" spans="1:16" ht="14.25">
      <c r="A19" s="339">
        <v>2018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0</v>
      </c>
      <c r="M19" s="343">
        <v>2018</v>
      </c>
      <c r="N19" s="344">
        <v>0</v>
      </c>
      <c r="O19" s="345">
        <v>43125</v>
      </c>
      <c r="P19" s="345">
        <v>43125</v>
      </c>
    </row>
    <row r="20" spans="1:16" ht="14.25">
      <c r="A20" s="339">
        <v>2018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3</v>
      </c>
      <c r="M20" s="343">
        <v>2021</v>
      </c>
      <c r="N20" s="344">
        <v>0</v>
      </c>
      <c r="O20" s="345">
        <v>43125</v>
      </c>
      <c r="P20" s="345">
        <v>43125</v>
      </c>
    </row>
    <row r="21" spans="1:16" ht="14.25">
      <c r="A21" s="339">
        <v>2018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1</v>
      </c>
      <c r="M21" s="343">
        <v>2019</v>
      </c>
      <c r="N21" s="344">
        <v>0</v>
      </c>
      <c r="O21" s="345">
        <v>43125</v>
      </c>
      <c r="P21" s="345">
        <v>43125</v>
      </c>
    </row>
    <row r="22" spans="1:16" ht="14.25">
      <c r="A22" s="339">
        <v>2018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7</v>
      </c>
      <c r="M22" s="343">
        <v>2025</v>
      </c>
      <c r="N22" s="344">
        <v>0</v>
      </c>
      <c r="O22" s="345">
        <v>43125</v>
      </c>
      <c r="P22" s="345">
        <v>43125</v>
      </c>
    </row>
    <row r="23" spans="1:16" ht="14.25">
      <c r="A23" s="339">
        <v>2018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5</v>
      </c>
      <c r="M23" s="343">
        <v>2023</v>
      </c>
      <c r="N23" s="344">
        <v>0</v>
      </c>
      <c r="O23" s="345">
        <v>43125</v>
      </c>
      <c r="P23" s="345">
        <v>43125</v>
      </c>
    </row>
    <row r="24" spans="1:16" ht="14.25">
      <c r="A24" s="339">
        <v>2018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0</v>
      </c>
      <c r="M24" s="343">
        <v>2018</v>
      </c>
      <c r="N24" s="344">
        <v>241869.97</v>
      </c>
      <c r="O24" s="345">
        <v>43125</v>
      </c>
      <c r="P24" s="345">
        <v>43125</v>
      </c>
    </row>
    <row r="25" spans="1:16" ht="14.25">
      <c r="A25" s="339">
        <v>2018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2</v>
      </c>
      <c r="M25" s="343">
        <v>2020</v>
      </c>
      <c r="N25" s="344">
        <v>1142746.05</v>
      </c>
      <c r="O25" s="345">
        <v>43125</v>
      </c>
      <c r="P25" s="345">
        <v>43125</v>
      </c>
    </row>
    <row r="26" spans="1:16" ht="14.25">
      <c r="A26" s="339">
        <v>2018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4</v>
      </c>
      <c r="M26" s="343">
        <v>2022</v>
      </c>
      <c r="N26" s="344">
        <v>0</v>
      </c>
      <c r="O26" s="345">
        <v>43125</v>
      </c>
      <c r="P26" s="345">
        <v>43125</v>
      </c>
    </row>
    <row r="27" spans="1:16" ht="14.25">
      <c r="A27" s="339">
        <v>2018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8</v>
      </c>
      <c r="M27" s="343">
        <v>2026</v>
      </c>
      <c r="N27" s="344">
        <v>0</v>
      </c>
      <c r="O27" s="345">
        <v>43125</v>
      </c>
      <c r="P27" s="345">
        <v>43125</v>
      </c>
    </row>
    <row r="28" spans="1:16" ht="14.25">
      <c r="A28" s="339">
        <v>2018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6</v>
      </c>
      <c r="M28" s="343">
        <v>2024</v>
      </c>
      <c r="N28" s="344">
        <v>0</v>
      </c>
      <c r="O28" s="345">
        <v>43125</v>
      </c>
      <c r="P28" s="345">
        <v>43125</v>
      </c>
    </row>
    <row r="29" spans="1:16" ht="14.25">
      <c r="A29" s="339">
        <v>2018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3</v>
      </c>
      <c r="M29" s="343">
        <v>2021</v>
      </c>
      <c r="N29" s="344">
        <v>5902772.01</v>
      </c>
      <c r="O29" s="345">
        <v>43125</v>
      </c>
      <c r="P29" s="345">
        <v>43125</v>
      </c>
    </row>
    <row r="30" spans="1:16" ht="14.25">
      <c r="A30" s="339">
        <v>2018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1</v>
      </c>
      <c r="M30" s="343">
        <v>2019</v>
      </c>
      <c r="N30" s="344">
        <v>3785773.46</v>
      </c>
      <c r="O30" s="345">
        <v>43125</v>
      </c>
      <c r="P30" s="345">
        <v>43125</v>
      </c>
    </row>
    <row r="31" spans="1:16" ht="14.25">
      <c r="A31" s="339">
        <v>2018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5</v>
      </c>
      <c r="M31" s="343">
        <v>2023</v>
      </c>
      <c r="N31" s="344">
        <v>0</v>
      </c>
      <c r="O31" s="345">
        <v>43125</v>
      </c>
      <c r="P31" s="345">
        <v>43125</v>
      </c>
    </row>
    <row r="32" spans="1:16" ht="14.25">
      <c r="A32" s="339">
        <v>2018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8</v>
      </c>
      <c r="M32" s="343">
        <v>2026</v>
      </c>
      <c r="N32" s="344">
        <v>0</v>
      </c>
      <c r="O32" s="345">
        <v>43125</v>
      </c>
      <c r="P32" s="345">
        <v>43125</v>
      </c>
    </row>
    <row r="33" spans="1:16" ht="14.25">
      <c r="A33" s="339">
        <v>2018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6</v>
      </c>
      <c r="M33" s="343">
        <v>2024</v>
      </c>
      <c r="N33" s="344">
        <v>0</v>
      </c>
      <c r="O33" s="345">
        <v>43125</v>
      </c>
      <c r="P33" s="345">
        <v>43125</v>
      </c>
    </row>
    <row r="34" spans="1:16" ht="14.25">
      <c r="A34" s="339">
        <v>2018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1</v>
      </c>
      <c r="M34" s="343">
        <v>2019</v>
      </c>
      <c r="N34" s="344">
        <v>1173704.15</v>
      </c>
      <c r="O34" s="345">
        <v>43125</v>
      </c>
      <c r="P34" s="345">
        <v>43125</v>
      </c>
    </row>
    <row r="35" spans="1:16" ht="14.25">
      <c r="A35" s="339">
        <v>2018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3</v>
      </c>
      <c r="M35" s="343">
        <v>2021</v>
      </c>
      <c r="N35" s="344">
        <v>2977629.81</v>
      </c>
      <c r="O35" s="345">
        <v>43125</v>
      </c>
      <c r="P35" s="345">
        <v>43125</v>
      </c>
    </row>
    <row r="36" spans="1:16" ht="14.25">
      <c r="A36" s="339">
        <v>2018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4</v>
      </c>
      <c r="M36" s="343">
        <v>2022</v>
      </c>
      <c r="N36" s="344">
        <v>0</v>
      </c>
      <c r="O36" s="345">
        <v>43125</v>
      </c>
      <c r="P36" s="345">
        <v>43125</v>
      </c>
    </row>
    <row r="37" spans="1:16" ht="14.25">
      <c r="A37" s="339">
        <v>2018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0</v>
      </c>
      <c r="M37" s="343">
        <v>2018</v>
      </c>
      <c r="N37" s="344">
        <v>4248465.75</v>
      </c>
      <c r="O37" s="345">
        <v>43125</v>
      </c>
      <c r="P37" s="345">
        <v>43125</v>
      </c>
    </row>
    <row r="38" spans="1:16" ht="14.25">
      <c r="A38" s="339">
        <v>2018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2</v>
      </c>
      <c r="M38" s="343">
        <v>2020</v>
      </c>
      <c r="N38" s="344">
        <v>617916.14</v>
      </c>
      <c r="O38" s="345">
        <v>43125</v>
      </c>
      <c r="P38" s="345">
        <v>43125</v>
      </c>
    </row>
    <row r="39" spans="1:16" ht="14.25">
      <c r="A39" s="339">
        <v>2018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7</v>
      </c>
      <c r="M39" s="343">
        <v>2025</v>
      </c>
      <c r="N39" s="344">
        <v>0</v>
      </c>
      <c r="O39" s="345">
        <v>43125</v>
      </c>
      <c r="P39" s="345">
        <v>43125</v>
      </c>
    </row>
    <row r="40" spans="1:16" ht="14.25">
      <c r="A40" s="339">
        <v>2018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0</v>
      </c>
      <c r="M40" s="343">
        <v>2018</v>
      </c>
      <c r="N40" s="344">
        <v>0</v>
      </c>
      <c r="O40" s="345">
        <v>43125</v>
      </c>
      <c r="P40" s="345">
        <v>43125</v>
      </c>
    </row>
    <row r="41" spans="1:16" ht="14.25">
      <c r="A41" s="339">
        <v>2018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1</v>
      </c>
      <c r="M41" s="343">
        <v>2019</v>
      </c>
      <c r="N41" s="344">
        <v>0</v>
      </c>
      <c r="O41" s="345">
        <v>43125</v>
      </c>
      <c r="P41" s="345">
        <v>43125</v>
      </c>
    </row>
    <row r="42" spans="1:16" ht="14.25">
      <c r="A42" s="339">
        <v>2018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2</v>
      </c>
      <c r="M42" s="343">
        <v>2020</v>
      </c>
      <c r="N42" s="344">
        <v>0</v>
      </c>
      <c r="O42" s="345">
        <v>43125</v>
      </c>
      <c r="P42" s="345">
        <v>43125</v>
      </c>
    </row>
    <row r="43" spans="1:16" ht="14.25">
      <c r="A43" s="339">
        <v>2018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6</v>
      </c>
      <c r="M43" s="343">
        <v>2024</v>
      </c>
      <c r="N43" s="344">
        <v>0</v>
      </c>
      <c r="O43" s="345">
        <v>43125</v>
      </c>
      <c r="P43" s="345">
        <v>43125</v>
      </c>
    </row>
    <row r="44" spans="1:16" ht="14.25">
      <c r="A44" s="339">
        <v>2018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7</v>
      </c>
      <c r="M44" s="343">
        <v>2025</v>
      </c>
      <c r="N44" s="344">
        <v>0</v>
      </c>
      <c r="O44" s="345">
        <v>43125</v>
      </c>
      <c r="P44" s="345">
        <v>43125</v>
      </c>
    </row>
    <row r="45" spans="1:16" ht="14.25">
      <c r="A45" s="339">
        <v>2018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8</v>
      </c>
      <c r="M45" s="343">
        <v>2026</v>
      </c>
      <c r="N45" s="344">
        <v>0</v>
      </c>
      <c r="O45" s="345">
        <v>43125</v>
      </c>
      <c r="P45" s="345">
        <v>43125</v>
      </c>
    </row>
    <row r="46" spans="1:16" ht="14.25">
      <c r="A46" s="339">
        <v>2018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4</v>
      </c>
      <c r="M46" s="343">
        <v>2022</v>
      </c>
      <c r="N46" s="344">
        <v>0</v>
      </c>
      <c r="O46" s="345">
        <v>43125</v>
      </c>
      <c r="P46" s="345">
        <v>43125</v>
      </c>
    </row>
    <row r="47" spans="1:16" ht="14.25">
      <c r="A47" s="339">
        <v>2018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5</v>
      </c>
      <c r="M47" s="343">
        <v>2023</v>
      </c>
      <c r="N47" s="344">
        <v>0</v>
      </c>
      <c r="O47" s="345">
        <v>43125</v>
      </c>
      <c r="P47" s="345">
        <v>43125</v>
      </c>
    </row>
    <row r="48" spans="1:16" ht="14.25">
      <c r="A48" s="339">
        <v>2018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3</v>
      </c>
      <c r="M48" s="343">
        <v>2021</v>
      </c>
      <c r="N48" s="344">
        <v>0</v>
      </c>
      <c r="O48" s="345">
        <v>43125</v>
      </c>
      <c r="P48" s="345">
        <v>43125</v>
      </c>
    </row>
    <row r="49" spans="1:16" ht="14.25">
      <c r="A49" s="339">
        <v>2018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7</v>
      </c>
      <c r="M49" s="343">
        <v>2025</v>
      </c>
      <c r="N49" s="344">
        <v>1197</v>
      </c>
      <c r="O49" s="345">
        <v>43125</v>
      </c>
      <c r="P49" s="345">
        <v>43125</v>
      </c>
    </row>
    <row r="50" spans="1:16" ht="14.25">
      <c r="A50" s="339">
        <v>2018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5</v>
      </c>
      <c r="M50" s="343">
        <v>2023</v>
      </c>
      <c r="N50" s="344">
        <v>552</v>
      </c>
      <c r="O50" s="345">
        <v>43125</v>
      </c>
      <c r="P50" s="345">
        <v>43125</v>
      </c>
    </row>
    <row r="51" spans="1:16" ht="14.25">
      <c r="A51" s="339">
        <v>2018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0</v>
      </c>
      <c r="M51" s="343">
        <v>2018</v>
      </c>
      <c r="N51" s="344">
        <v>214</v>
      </c>
      <c r="O51" s="345">
        <v>43125</v>
      </c>
      <c r="P51" s="345">
        <v>43125</v>
      </c>
    </row>
    <row r="52" spans="1:16" ht="14.25">
      <c r="A52" s="339">
        <v>2018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3</v>
      </c>
      <c r="M52" s="343">
        <v>2021</v>
      </c>
      <c r="N52" s="344">
        <v>597</v>
      </c>
      <c r="O52" s="345">
        <v>43125</v>
      </c>
      <c r="P52" s="345">
        <v>43125</v>
      </c>
    </row>
    <row r="53" spans="1:16" ht="14.25">
      <c r="A53" s="339">
        <v>2018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4</v>
      </c>
      <c r="M53" s="343">
        <v>2022</v>
      </c>
      <c r="N53" s="344">
        <v>671</v>
      </c>
      <c r="O53" s="345">
        <v>43125</v>
      </c>
      <c r="P53" s="345">
        <v>43125</v>
      </c>
    </row>
    <row r="54" spans="1:16" ht="14.25">
      <c r="A54" s="339">
        <v>2018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2</v>
      </c>
      <c r="M54" s="343">
        <v>2020</v>
      </c>
      <c r="N54" s="344">
        <v>358</v>
      </c>
      <c r="O54" s="345">
        <v>43125</v>
      </c>
      <c r="P54" s="345">
        <v>43125</v>
      </c>
    </row>
    <row r="55" spans="1:16" ht="14.25">
      <c r="A55" s="339">
        <v>2018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1</v>
      </c>
      <c r="M55" s="343">
        <v>2019</v>
      </c>
      <c r="N55" s="344">
        <v>179</v>
      </c>
      <c r="O55" s="345">
        <v>43125</v>
      </c>
      <c r="P55" s="345">
        <v>43125</v>
      </c>
    </row>
    <row r="56" spans="1:16" ht="14.25">
      <c r="A56" s="339">
        <v>2018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8</v>
      </c>
      <c r="M56" s="343">
        <v>2026</v>
      </c>
      <c r="N56" s="344">
        <v>1339</v>
      </c>
      <c r="O56" s="345">
        <v>43125</v>
      </c>
      <c r="P56" s="345">
        <v>43125</v>
      </c>
    </row>
    <row r="57" spans="1:16" ht="14.25">
      <c r="A57" s="339">
        <v>2018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6</v>
      </c>
      <c r="M57" s="343">
        <v>2024</v>
      </c>
      <c r="N57" s="344">
        <v>969</v>
      </c>
      <c r="O57" s="345">
        <v>43125</v>
      </c>
      <c r="P57" s="345">
        <v>43125</v>
      </c>
    </row>
    <row r="58" spans="1:16" ht="14.25">
      <c r="A58" s="339">
        <v>2018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30">TRUE</f>
        <v>1</v>
      </c>
      <c r="L58" s="342">
        <v>8</v>
      </c>
      <c r="M58" s="343">
        <v>2026</v>
      </c>
      <c r="N58" s="344">
        <v>0</v>
      </c>
      <c r="O58" s="345">
        <v>43125</v>
      </c>
      <c r="P58" s="345">
        <v>43125</v>
      </c>
    </row>
    <row r="59" spans="1:16" ht="14.25">
      <c r="A59" s="339">
        <v>2018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5</v>
      </c>
      <c r="M59" s="343">
        <v>2023</v>
      </c>
      <c r="N59" s="344">
        <v>0</v>
      </c>
      <c r="O59" s="345">
        <v>43125</v>
      </c>
      <c r="P59" s="345">
        <v>43125</v>
      </c>
    </row>
    <row r="60" spans="1:16" ht="14.25">
      <c r="A60" s="339">
        <v>2018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7</v>
      </c>
      <c r="M60" s="343">
        <v>2025</v>
      </c>
      <c r="N60" s="344">
        <v>0</v>
      </c>
      <c r="O60" s="345">
        <v>43125</v>
      </c>
      <c r="P60" s="345">
        <v>43125</v>
      </c>
    </row>
    <row r="61" spans="1:16" ht="14.25">
      <c r="A61" s="339">
        <v>2018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0</v>
      </c>
      <c r="M61" s="343">
        <v>2018</v>
      </c>
      <c r="N61" s="344">
        <v>0</v>
      </c>
      <c r="O61" s="345">
        <v>43125</v>
      </c>
      <c r="P61" s="345">
        <v>43125</v>
      </c>
    </row>
    <row r="62" spans="1:16" ht="14.25">
      <c r="A62" s="339">
        <v>2018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4</v>
      </c>
      <c r="M62" s="343">
        <v>2022</v>
      </c>
      <c r="N62" s="344">
        <v>0</v>
      </c>
      <c r="O62" s="345">
        <v>43125</v>
      </c>
      <c r="P62" s="345">
        <v>43125</v>
      </c>
    </row>
    <row r="63" spans="1:16" ht="14.25">
      <c r="A63" s="339">
        <v>2018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1</v>
      </c>
      <c r="M63" s="343">
        <v>2019</v>
      </c>
      <c r="N63" s="344">
        <v>0</v>
      </c>
      <c r="O63" s="345">
        <v>43125</v>
      </c>
      <c r="P63" s="345">
        <v>43125</v>
      </c>
    </row>
    <row r="64" spans="1:16" ht="14.25">
      <c r="A64" s="339">
        <v>2018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3</v>
      </c>
      <c r="M64" s="343">
        <v>2021</v>
      </c>
      <c r="N64" s="344">
        <v>0</v>
      </c>
      <c r="O64" s="345">
        <v>43125</v>
      </c>
      <c r="P64" s="345">
        <v>43125</v>
      </c>
    </row>
    <row r="65" spans="1:16" ht="14.25">
      <c r="A65" s="339">
        <v>2018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2</v>
      </c>
      <c r="M65" s="343">
        <v>2020</v>
      </c>
      <c r="N65" s="344">
        <v>0</v>
      </c>
      <c r="O65" s="345">
        <v>43125</v>
      </c>
      <c r="P65" s="345">
        <v>43125</v>
      </c>
    </row>
    <row r="66" spans="1:16" ht="14.25">
      <c r="A66" s="339">
        <v>2018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6</v>
      </c>
      <c r="M66" s="343">
        <v>2024</v>
      </c>
      <c r="N66" s="344">
        <v>0</v>
      </c>
      <c r="O66" s="345">
        <v>43125</v>
      </c>
      <c r="P66" s="345">
        <v>43125</v>
      </c>
    </row>
    <row r="67" spans="1:16" ht="14.25">
      <c r="A67" s="339">
        <v>2018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7</v>
      </c>
      <c r="M67" s="343">
        <v>2025</v>
      </c>
      <c r="N67" s="344">
        <v>0</v>
      </c>
      <c r="O67" s="345">
        <v>43125</v>
      </c>
      <c r="P67" s="345">
        <v>43125</v>
      </c>
    </row>
    <row r="68" spans="1:16" ht="14.25">
      <c r="A68" s="339">
        <v>2018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4</v>
      </c>
      <c r="M68" s="343">
        <v>2022</v>
      </c>
      <c r="N68" s="344">
        <v>2250004</v>
      </c>
      <c r="O68" s="345">
        <v>43125</v>
      </c>
      <c r="P68" s="345">
        <v>43125</v>
      </c>
    </row>
    <row r="69" spans="1:16" ht="14.25">
      <c r="A69" s="339">
        <v>2018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3</v>
      </c>
      <c r="M69" s="343">
        <v>2021</v>
      </c>
      <c r="N69" s="344">
        <v>2210004</v>
      </c>
      <c r="O69" s="345">
        <v>43125</v>
      </c>
      <c r="P69" s="345">
        <v>43125</v>
      </c>
    </row>
    <row r="70" spans="1:16" ht="14.25">
      <c r="A70" s="339">
        <v>2018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1</v>
      </c>
      <c r="M70" s="343">
        <v>2019</v>
      </c>
      <c r="N70" s="344">
        <v>1860004</v>
      </c>
      <c r="O70" s="345">
        <v>43125</v>
      </c>
      <c r="P70" s="345">
        <v>43125</v>
      </c>
    </row>
    <row r="71" spans="1:16" ht="14.25">
      <c r="A71" s="339">
        <v>2018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2</v>
      </c>
      <c r="M71" s="343">
        <v>2020</v>
      </c>
      <c r="N71" s="344">
        <v>2210004</v>
      </c>
      <c r="O71" s="345">
        <v>43125</v>
      </c>
      <c r="P71" s="345">
        <v>43125</v>
      </c>
    </row>
    <row r="72" spans="1:16" ht="14.25">
      <c r="A72" s="339">
        <v>2018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8</v>
      </c>
      <c r="M72" s="343">
        <v>2026</v>
      </c>
      <c r="N72" s="344">
        <v>0</v>
      </c>
      <c r="O72" s="345">
        <v>43125</v>
      </c>
      <c r="P72" s="345">
        <v>43125</v>
      </c>
    </row>
    <row r="73" spans="1:16" ht="14.25">
      <c r="A73" s="339">
        <v>2018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6</v>
      </c>
      <c r="M73" s="343">
        <v>2024</v>
      </c>
      <c r="N73" s="344">
        <v>1250000</v>
      </c>
      <c r="O73" s="345">
        <v>43125</v>
      </c>
      <c r="P73" s="345">
        <v>43125</v>
      </c>
    </row>
    <row r="74" spans="1:16" ht="14.25">
      <c r="A74" s="339">
        <v>2018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5</v>
      </c>
      <c r="M74" s="343">
        <v>2023</v>
      </c>
      <c r="N74" s="344">
        <v>2418000</v>
      </c>
      <c r="O74" s="345">
        <v>43125</v>
      </c>
      <c r="P74" s="345">
        <v>43125</v>
      </c>
    </row>
    <row r="75" spans="1:16" ht="14.25">
      <c r="A75" s="339">
        <v>2018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0</v>
      </c>
      <c r="M75" s="343">
        <v>2018</v>
      </c>
      <c r="N75" s="344">
        <v>1678204</v>
      </c>
      <c r="O75" s="345">
        <v>43125</v>
      </c>
      <c r="P75" s="345">
        <v>43125</v>
      </c>
    </row>
    <row r="76" spans="1:16" ht="14.25">
      <c r="A76" s="339">
        <v>2018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1</v>
      </c>
      <c r="M76" s="343">
        <v>2019</v>
      </c>
      <c r="N76" s="344">
        <v>160000</v>
      </c>
      <c r="O76" s="345">
        <v>43125</v>
      </c>
      <c r="P76" s="345">
        <v>43125</v>
      </c>
    </row>
    <row r="77" spans="1:16" ht="14.25">
      <c r="A77" s="339">
        <v>2018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0</v>
      </c>
      <c r="M77" s="343">
        <v>2018</v>
      </c>
      <c r="N77" s="344">
        <v>150000</v>
      </c>
      <c r="O77" s="345">
        <v>43125</v>
      </c>
      <c r="P77" s="345">
        <v>43125</v>
      </c>
    </row>
    <row r="78" spans="1:16" ht="14.25">
      <c r="A78" s="339">
        <v>2018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2</v>
      </c>
      <c r="M78" s="343">
        <v>2020</v>
      </c>
      <c r="N78" s="344">
        <v>170000</v>
      </c>
      <c r="O78" s="345">
        <v>43125</v>
      </c>
      <c r="P78" s="345">
        <v>43125</v>
      </c>
    </row>
    <row r="79" spans="1:16" ht="14.25">
      <c r="A79" s="339">
        <v>2018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3</v>
      </c>
      <c r="M79" s="343">
        <v>2021</v>
      </c>
      <c r="N79" s="344">
        <v>180000</v>
      </c>
      <c r="O79" s="345">
        <v>43125</v>
      </c>
      <c r="P79" s="345">
        <v>43125</v>
      </c>
    </row>
    <row r="80" spans="1:16" ht="14.25">
      <c r="A80" s="339">
        <v>2018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7</v>
      </c>
      <c r="M80" s="343">
        <v>2025</v>
      </c>
      <c r="N80" s="344">
        <v>0</v>
      </c>
      <c r="O80" s="345">
        <v>43125</v>
      </c>
      <c r="P80" s="345">
        <v>43125</v>
      </c>
    </row>
    <row r="81" spans="1:16" ht="14.25">
      <c r="A81" s="339">
        <v>2018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5</v>
      </c>
      <c r="M81" s="343">
        <v>2023</v>
      </c>
      <c r="N81" s="344">
        <v>0</v>
      </c>
      <c r="O81" s="345">
        <v>43125</v>
      </c>
      <c r="P81" s="345">
        <v>43125</v>
      </c>
    </row>
    <row r="82" spans="1:16" ht="14.25">
      <c r="A82" s="339">
        <v>2018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8</v>
      </c>
      <c r="M82" s="343">
        <v>2026</v>
      </c>
      <c r="N82" s="344">
        <v>0</v>
      </c>
      <c r="O82" s="345">
        <v>43125</v>
      </c>
      <c r="P82" s="345">
        <v>43125</v>
      </c>
    </row>
    <row r="83" spans="1:16" ht="14.25">
      <c r="A83" s="339">
        <v>2018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4</v>
      </c>
      <c r="M83" s="343">
        <v>2022</v>
      </c>
      <c r="N83" s="344">
        <v>0</v>
      </c>
      <c r="O83" s="345">
        <v>43125</v>
      </c>
      <c r="P83" s="345">
        <v>43125</v>
      </c>
    </row>
    <row r="84" spans="1:16" ht="14.25">
      <c r="A84" s="339">
        <v>2018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6</v>
      </c>
      <c r="M84" s="343">
        <v>2024</v>
      </c>
      <c r="N84" s="344">
        <v>0</v>
      </c>
      <c r="O84" s="345">
        <v>43125</v>
      </c>
      <c r="P84" s="345">
        <v>43125</v>
      </c>
    </row>
    <row r="85" spans="1:16" ht="14.25">
      <c r="A85" s="339">
        <v>2018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6</v>
      </c>
      <c r="M85" s="343">
        <v>2024</v>
      </c>
      <c r="N85" s="344">
        <v>0</v>
      </c>
      <c r="O85" s="345">
        <v>43125</v>
      </c>
      <c r="P85" s="345">
        <v>43125</v>
      </c>
    </row>
    <row r="86" spans="1:16" ht="14.25">
      <c r="A86" s="339">
        <v>2018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7</v>
      </c>
      <c r="M86" s="343">
        <v>2025</v>
      </c>
      <c r="N86" s="344">
        <v>0</v>
      </c>
      <c r="O86" s="345">
        <v>43125</v>
      </c>
      <c r="P86" s="345">
        <v>43125</v>
      </c>
    </row>
    <row r="87" spans="1:16" ht="14.25">
      <c r="A87" s="339">
        <v>2018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3</v>
      </c>
      <c r="M87" s="343">
        <v>2021</v>
      </c>
      <c r="N87" s="344">
        <v>0</v>
      </c>
      <c r="O87" s="345">
        <v>43125</v>
      </c>
      <c r="P87" s="345">
        <v>43125</v>
      </c>
    </row>
    <row r="88" spans="1:16" ht="14.25">
      <c r="A88" s="339">
        <v>2018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5</v>
      </c>
      <c r="M88" s="343">
        <v>2023</v>
      </c>
      <c r="N88" s="344">
        <v>0</v>
      </c>
      <c r="O88" s="345">
        <v>43125</v>
      </c>
      <c r="P88" s="345">
        <v>43125</v>
      </c>
    </row>
    <row r="89" spans="1:16" ht="14.25">
      <c r="A89" s="339">
        <v>2018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2</v>
      </c>
      <c r="M89" s="343">
        <v>2020</v>
      </c>
      <c r="N89" s="344">
        <v>0</v>
      </c>
      <c r="O89" s="345">
        <v>43125</v>
      </c>
      <c r="P89" s="345">
        <v>43125</v>
      </c>
    </row>
    <row r="90" spans="1:16" ht="14.25">
      <c r="A90" s="339">
        <v>2018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8</v>
      </c>
      <c r="M90" s="343">
        <v>2026</v>
      </c>
      <c r="N90" s="344">
        <v>0</v>
      </c>
      <c r="O90" s="345">
        <v>43125</v>
      </c>
      <c r="P90" s="345">
        <v>43125</v>
      </c>
    </row>
    <row r="91" spans="1:16" ht="14.25">
      <c r="A91" s="339">
        <v>2018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1</v>
      </c>
      <c r="M91" s="343">
        <v>2019</v>
      </c>
      <c r="N91" s="344">
        <v>0</v>
      </c>
      <c r="O91" s="345">
        <v>43125</v>
      </c>
      <c r="P91" s="345">
        <v>43125</v>
      </c>
    </row>
    <row r="92" spans="1:16" ht="14.25">
      <c r="A92" s="339">
        <v>2018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0</v>
      </c>
      <c r="M92" s="343">
        <v>2018</v>
      </c>
      <c r="N92" s="344">
        <v>0</v>
      </c>
      <c r="O92" s="345">
        <v>43125</v>
      </c>
      <c r="P92" s="345">
        <v>43125</v>
      </c>
    </row>
    <row r="93" spans="1:16" ht="14.25">
      <c r="A93" s="339">
        <v>2018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4</v>
      </c>
      <c r="M93" s="343">
        <v>2022</v>
      </c>
      <c r="N93" s="344">
        <v>0</v>
      </c>
      <c r="O93" s="345">
        <v>43125</v>
      </c>
      <c r="P93" s="345">
        <v>43125</v>
      </c>
    </row>
    <row r="94" spans="1:16" ht="14.25">
      <c r="A94" s="339">
        <v>2018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8</v>
      </c>
      <c r="M94" s="343">
        <v>2026</v>
      </c>
      <c r="N94" s="344">
        <v>0</v>
      </c>
      <c r="O94" s="345">
        <v>43125</v>
      </c>
      <c r="P94" s="345">
        <v>43125</v>
      </c>
    </row>
    <row r="95" spans="1:16" ht="14.25">
      <c r="A95" s="339">
        <v>2018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150</v>
      </c>
      <c r="H95" s="341" t="s">
        <v>47</v>
      </c>
      <c r="I95" s="341"/>
      <c r="J95" s="341" t="s">
        <v>48</v>
      </c>
      <c r="K95" s="342" t="b">
        <f t="shared" si="3"/>
        <v>1</v>
      </c>
      <c r="L95" s="342">
        <v>7</v>
      </c>
      <c r="M95" s="343">
        <v>2025</v>
      </c>
      <c r="N95" s="344">
        <v>0</v>
      </c>
      <c r="O95" s="345">
        <v>43125</v>
      </c>
      <c r="P95" s="345">
        <v>43125</v>
      </c>
    </row>
    <row r="96" spans="1:16" ht="14.25">
      <c r="A96" s="339">
        <v>2018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3"/>
        <v>1</v>
      </c>
      <c r="L96" s="342">
        <v>7</v>
      </c>
      <c r="M96" s="343">
        <v>2025</v>
      </c>
      <c r="N96" s="344">
        <v>0</v>
      </c>
      <c r="O96" s="345">
        <v>43125</v>
      </c>
      <c r="P96" s="345">
        <v>43125</v>
      </c>
    </row>
    <row r="97" spans="1:16" ht="14.25">
      <c r="A97" s="339">
        <v>2018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5</v>
      </c>
      <c r="M97" s="343">
        <v>2023</v>
      </c>
      <c r="N97" s="344">
        <v>0</v>
      </c>
      <c r="O97" s="345">
        <v>43125</v>
      </c>
      <c r="P97" s="345">
        <v>43125</v>
      </c>
    </row>
    <row r="98" spans="1:16" ht="14.25">
      <c r="A98" s="339">
        <v>2018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1</v>
      </c>
      <c r="M98" s="343">
        <v>2019</v>
      </c>
      <c r="N98" s="344">
        <v>0</v>
      </c>
      <c r="O98" s="345">
        <v>43125</v>
      </c>
      <c r="P98" s="345">
        <v>43125</v>
      </c>
    </row>
    <row r="99" spans="1:16" ht="14.25">
      <c r="A99" s="339">
        <v>2018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2</v>
      </c>
      <c r="M99" s="343">
        <v>2020</v>
      </c>
      <c r="N99" s="344">
        <v>0</v>
      </c>
      <c r="O99" s="345">
        <v>43125</v>
      </c>
      <c r="P99" s="345">
        <v>43125</v>
      </c>
    </row>
    <row r="100" spans="1:16" ht="14.25">
      <c r="A100" s="339">
        <v>2018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3</v>
      </c>
      <c r="M100" s="343">
        <v>2021</v>
      </c>
      <c r="N100" s="344">
        <v>0</v>
      </c>
      <c r="O100" s="345">
        <v>43125</v>
      </c>
      <c r="P100" s="345">
        <v>43125</v>
      </c>
    </row>
    <row r="101" spans="1:16" ht="14.25">
      <c r="A101" s="339">
        <v>2018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6</v>
      </c>
      <c r="M101" s="343">
        <v>2024</v>
      </c>
      <c r="N101" s="344">
        <v>0</v>
      </c>
      <c r="O101" s="345">
        <v>43125</v>
      </c>
      <c r="P101" s="345">
        <v>43125</v>
      </c>
    </row>
    <row r="102" spans="1:16" ht="14.25">
      <c r="A102" s="339">
        <v>2018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0</v>
      </c>
      <c r="M102" s="343">
        <v>2018</v>
      </c>
      <c r="N102" s="344">
        <v>0</v>
      </c>
      <c r="O102" s="345">
        <v>43125</v>
      </c>
      <c r="P102" s="345">
        <v>43125</v>
      </c>
    </row>
    <row r="103" spans="1:16" ht="14.25">
      <c r="A103" s="339">
        <v>2018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4</v>
      </c>
      <c r="M103" s="343">
        <v>2022</v>
      </c>
      <c r="N103" s="344">
        <v>0</v>
      </c>
      <c r="O103" s="345">
        <v>43125</v>
      </c>
      <c r="P103" s="345">
        <v>43125</v>
      </c>
    </row>
    <row r="104" spans="1:16" ht="14.25">
      <c r="A104" s="339">
        <v>2018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3</v>
      </c>
      <c r="M104" s="343">
        <v>2021</v>
      </c>
      <c r="N104" s="344">
        <v>0</v>
      </c>
      <c r="O104" s="345">
        <v>43125</v>
      </c>
      <c r="P104" s="345">
        <v>43125</v>
      </c>
    </row>
    <row r="105" spans="1:16" ht="14.25">
      <c r="A105" s="339">
        <v>2018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2</v>
      </c>
      <c r="M105" s="343">
        <v>2020</v>
      </c>
      <c r="N105" s="344">
        <v>0</v>
      </c>
      <c r="O105" s="345">
        <v>43125</v>
      </c>
      <c r="P105" s="345">
        <v>43125</v>
      </c>
    </row>
    <row r="106" spans="1:16" ht="14.25">
      <c r="A106" s="339">
        <v>2018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4</v>
      </c>
      <c r="M106" s="343">
        <v>2022</v>
      </c>
      <c r="N106" s="344">
        <v>0</v>
      </c>
      <c r="O106" s="345">
        <v>43125</v>
      </c>
      <c r="P106" s="345">
        <v>43125</v>
      </c>
    </row>
    <row r="107" spans="1:16" ht="14.25">
      <c r="A107" s="339">
        <v>2018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1</v>
      </c>
      <c r="M107" s="343">
        <v>2019</v>
      </c>
      <c r="N107" s="344">
        <v>0</v>
      </c>
      <c r="O107" s="345">
        <v>43125</v>
      </c>
      <c r="P107" s="345">
        <v>43125</v>
      </c>
    </row>
    <row r="108" spans="1:16" ht="14.25">
      <c r="A108" s="339">
        <v>2018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8</v>
      </c>
      <c r="M108" s="343">
        <v>2026</v>
      </c>
      <c r="N108" s="344">
        <v>0</v>
      </c>
      <c r="O108" s="345">
        <v>43125</v>
      </c>
      <c r="P108" s="345">
        <v>43125</v>
      </c>
    </row>
    <row r="109" spans="1:16" ht="14.25">
      <c r="A109" s="339">
        <v>2018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6</v>
      </c>
      <c r="M109" s="343">
        <v>2024</v>
      </c>
      <c r="N109" s="344">
        <v>0</v>
      </c>
      <c r="O109" s="345">
        <v>43125</v>
      </c>
      <c r="P109" s="345">
        <v>43125</v>
      </c>
    </row>
    <row r="110" spans="1:16" ht="14.25">
      <c r="A110" s="339">
        <v>2018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5</v>
      </c>
      <c r="M110" s="343">
        <v>2023</v>
      </c>
      <c r="N110" s="344">
        <v>0</v>
      </c>
      <c r="O110" s="345">
        <v>43125</v>
      </c>
      <c r="P110" s="345">
        <v>43125</v>
      </c>
    </row>
    <row r="111" spans="1:16" ht="14.25">
      <c r="A111" s="339">
        <v>2018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0</v>
      </c>
      <c r="M111" s="343">
        <v>2018</v>
      </c>
      <c r="N111" s="344">
        <v>0</v>
      </c>
      <c r="O111" s="345">
        <v>43125</v>
      </c>
      <c r="P111" s="345">
        <v>43125</v>
      </c>
    </row>
    <row r="112" spans="1:16" ht="14.25">
      <c r="A112" s="339">
        <v>2018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8</v>
      </c>
      <c r="M112" s="343">
        <v>2026</v>
      </c>
      <c r="N112" s="344">
        <v>0</v>
      </c>
      <c r="O112" s="345">
        <v>43125</v>
      </c>
      <c r="P112" s="345">
        <v>43125</v>
      </c>
    </row>
    <row r="113" spans="1:16" ht="14.25">
      <c r="A113" s="339">
        <v>2018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0</v>
      </c>
      <c r="M113" s="343">
        <v>2018</v>
      </c>
      <c r="N113" s="344">
        <v>0</v>
      </c>
      <c r="O113" s="345">
        <v>43125</v>
      </c>
      <c r="P113" s="345">
        <v>43125</v>
      </c>
    </row>
    <row r="114" spans="1:16" ht="14.25">
      <c r="A114" s="339">
        <v>2018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4</v>
      </c>
      <c r="M114" s="343">
        <v>2022</v>
      </c>
      <c r="N114" s="344">
        <v>0</v>
      </c>
      <c r="O114" s="345">
        <v>43125</v>
      </c>
      <c r="P114" s="345">
        <v>43125</v>
      </c>
    </row>
    <row r="115" spans="1:16" ht="14.25">
      <c r="A115" s="339">
        <v>2018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2</v>
      </c>
      <c r="M115" s="343">
        <v>2020</v>
      </c>
      <c r="N115" s="344">
        <v>0</v>
      </c>
      <c r="O115" s="345">
        <v>43125</v>
      </c>
      <c r="P115" s="345">
        <v>43125</v>
      </c>
    </row>
    <row r="116" spans="1:16" ht="14.25">
      <c r="A116" s="339">
        <v>2018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6</v>
      </c>
      <c r="M116" s="343">
        <v>2024</v>
      </c>
      <c r="N116" s="344">
        <v>0</v>
      </c>
      <c r="O116" s="345">
        <v>43125</v>
      </c>
      <c r="P116" s="345">
        <v>43125</v>
      </c>
    </row>
    <row r="117" spans="1:16" ht="14.25">
      <c r="A117" s="339">
        <v>2018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7</v>
      </c>
      <c r="M117" s="343">
        <v>2025</v>
      </c>
      <c r="N117" s="344">
        <v>0</v>
      </c>
      <c r="O117" s="345">
        <v>43125</v>
      </c>
      <c r="P117" s="345">
        <v>43125</v>
      </c>
    </row>
    <row r="118" spans="1:16" ht="14.25">
      <c r="A118" s="339">
        <v>2018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5</v>
      </c>
      <c r="M118" s="343">
        <v>2023</v>
      </c>
      <c r="N118" s="344">
        <v>0</v>
      </c>
      <c r="O118" s="345">
        <v>43125</v>
      </c>
      <c r="P118" s="345">
        <v>43125</v>
      </c>
    </row>
    <row r="119" spans="1:16" ht="14.25">
      <c r="A119" s="339">
        <v>2018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1</v>
      </c>
      <c r="M119" s="343">
        <v>2019</v>
      </c>
      <c r="N119" s="344">
        <v>0</v>
      </c>
      <c r="O119" s="345">
        <v>43125</v>
      </c>
      <c r="P119" s="345">
        <v>43125</v>
      </c>
    </row>
    <row r="120" spans="1:16" ht="14.25">
      <c r="A120" s="339">
        <v>2018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3</v>
      </c>
      <c r="M120" s="343">
        <v>2021</v>
      </c>
      <c r="N120" s="344">
        <v>0</v>
      </c>
      <c r="O120" s="345">
        <v>43125</v>
      </c>
      <c r="P120" s="345">
        <v>43125</v>
      </c>
    </row>
    <row r="121" spans="1:16" ht="14.25">
      <c r="A121" s="339">
        <v>2018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4</v>
      </c>
      <c r="M121" s="343">
        <v>2022</v>
      </c>
      <c r="N121" s="344">
        <v>0</v>
      </c>
      <c r="O121" s="345">
        <v>43125</v>
      </c>
      <c r="P121" s="345">
        <v>43125</v>
      </c>
    </row>
    <row r="122" spans="1:16" ht="14.25">
      <c r="A122" s="339">
        <v>2018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5</v>
      </c>
      <c r="M122" s="343">
        <v>2023</v>
      </c>
      <c r="N122" s="344">
        <v>0</v>
      </c>
      <c r="O122" s="345">
        <v>43125</v>
      </c>
      <c r="P122" s="345">
        <v>43125</v>
      </c>
    </row>
    <row r="123" spans="1:16" ht="14.25">
      <c r="A123" s="339">
        <v>2018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3</v>
      </c>
      <c r="M123" s="343">
        <v>2021</v>
      </c>
      <c r="N123" s="344">
        <v>0</v>
      </c>
      <c r="O123" s="345">
        <v>43125</v>
      </c>
      <c r="P123" s="345">
        <v>43125</v>
      </c>
    </row>
    <row r="124" spans="1:16" ht="14.25">
      <c r="A124" s="339">
        <v>2018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0</v>
      </c>
      <c r="M124" s="343">
        <v>2018</v>
      </c>
      <c r="N124" s="344">
        <v>0</v>
      </c>
      <c r="O124" s="345">
        <v>43125</v>
      </c>
      <c r="P124" s="345">
        <v>43125</v>
      </c>
    </row>
    <row r="125" spans="1:16" ht="14.25">
      <c r="A125" s="339">
        <v>2018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2</v>
      </c>
      <c r="M125" s="343">
        <v>2020</v>
      </c>
      <c r="N125" s="344">
        <v>0</v>
      </c>
      <c r="O125" s="345">
        <v>43125</v>
      </c>
      <c r="P125" s="345">
        <v>43125</v>
      </c>
    </row>
    <row r="126" spans="1:16" ht="14.25">
      <c r="A126" s="339">
        <v>2018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1</v>
      </c>
      <c r="M126" s="343">
        <v>2019</v>
      </c>
      <c r="N126" s="344">
        <v>0</v>
      </c>
      <c r="O126" s="345">
        <v>43125</v>
      </c>
      <c r="P126" s="345">
        <v>43125</v>
      </c>
    </row>
    <row r="127" spans="1:16" ht="14.25">
      <c r="A127" s="339">
        <v>2018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8</v>
      </c>
      <c r="M127" s="343">
        <v>2026</v>
      </c>
      <c r="N127" s="344">
        <v>0</v>
      </c>
      <c r="O127" s="345">
        <v>43125</v>
      </c>
      <c r="P127" s="345">
        <v>43125</v>
      </c>
    </row>
    <row r="128" spans="1:16" ht="14.25">
      <c r="A128" s="339">
        <v>2018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110</v>
      </c>
      <c r="H128" s="341" t="s">
        <v>37</v>
      </c>
      <c r="I128" s="341"/>
      <c r="J128" s="341" t="s">
        <v>38</v>
      </c>
      <c r="K128" s="342" t="b">
        <f t="shared" si="3"/>
        <v>1</v>
      </c>
      <c r="L128" s="342">
        <v>1</v>
      </c>
      <c r="M128" s="343">
        <v>2019</v>
      </c>
      <c r="N128" s="344">
        <v>1403993.15</v>
      </c>
      <c r="O128" s="345">
        <v>43125</v>
      </c>
      <c r="P128" s="345">
        <v>43125</v>
      </c>
    </row>
    <row r="129" spans="1:16" ht="14.25">
      <c r="A129" s="339">
        <v>2018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7</v>
      </c>
      <c r="M129" s="343">
        <v>2025</v>
      </c>
      <c r="N129" s="344">
        <v>0</v>
      </c>
      <c r="O129" s="345">
        <v>43125</v>
      </c>
      <c r="P129" s="345">
        <v>43125</v>
      </c>
    </row>
    <row r="130" spans="1:16" ht="14.25">
      <c r="A130" s="339">
        <v>2018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800</v>
      </c>
      <c r="H130" s="341">
        <v>13.1</v>
      </c>
      <c r="I130" s="341"/>
      <c r="J130" s="341" t="s">
        <v>228</v>
      </c>
      <c r="K130" s="342" t="b">
        <f t="shared" si="3"/>
        <v>1</v>
      </c>
      <c r="L130" s="342">
        <v>6</v>
      </c>
      <c r="M130" s="343">
        <v>2024</v>
      </c>
      <c r="N130" s="344">
        <v>0</v>
      </c>
      <c r="O130" s="345">
        <v>43125</v>
      </c>
      <c r="P130" s="345">
        <v>43125</v>
      </c>
    </row>
    <row r="131" spans="1:16" ht="14.25">
      <c r="A131" s="339">
        <v>2018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aca="true" t="shared" si="4" ref="K131:K139">FALSE</f>
        <v>0</v>
      </c>
      <c r="L131" s="342">
        <v>3</v>
      </c>
      <c r="M131" s="343">
        <v>2021</v>
      </c>
      <c r="N131" s="344">
        <v>0</v>
      </c>
      <c r="O131" s="345">
        <v>43125</v>
      </c>
      <c r="P131" s="345">
        <v>43125</v>
      </c>
    </row>
    <row r="132" spans="1:16" ht="14.25">
      <c r="A132" s="339">
        <v>2018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5</v>
      </c>
      <c r="M132" s="343">
        <v>2023</v>
      </c>
      <c r="N132" s="344">
        <v>0</v>
      </c>
      <c r="O132" s="345">
        <v>43125</v>
      </c>
      <c r="P132" s="345">
        <v>43125</v>
      </c>
    </row>
    <row r="133" spans="1:16" ht="14.25">
      <c r="A133" s="339">
        <v>2018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6</v>
      </c>
      <c r="M133" s="343">
        <v>2024</v>
      </c>
      <c r="N133" s="344">
        <v>0</v>
      </c>
      <c r="O133" s="345">
        <v>43125</v>
      </c>
      <c r="P133" s="345">
        <v>43125</v>
      </c>
    </row>
    <row r="134" spans="1:16" ht="14.25">
      <c r="A134" s="339">
        <v>2018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7</v>
      </c>
      <c r="M134" s="343">
        <v>2025</v>
      </c>
      <c r="N134" s="344">
        <v>0</v>
      </c>
      <c r="O134" s="345">
        <v>43125</v>
      </c>
      <c r="P134" s="345">
        <v>43125</v>
      </c>
    </row>
    <row r="135" spans="1:16" ht="14.25">
      <c r="A135" s="339">
        <v>2018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4</v>
      </c>
      <c r="M135" s="343">
        <v>2022</v>
      </c>
      <c r="N135" s="344">
        <v>0</v>
      </c>
      <c r="O135" s="345">
        <v>43125</v>
      </c>
      <c r="P135" s="345">
        <v>43125</v>
      </c>
    </row>
    <row r="136" spans="1:16" ht="14.25">
      <c r="A136" s="339">
        <v>2018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8</v>
      </c>
      <c r="M136" s="343">
        <v>2026</v>
      </c>
      <c r="N136" s="344">
        <v>0</v>
      </c>
      <c r="O136" s="345">
        <v>43125</v>
      </c>
      <c r="P136" s="345">
        <v>43125</v>
      </c>
    </row>
    <row r="137" spans="1:16" ht="14.25">
      <c r="A137" s="339">
        <v>2018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1</v>
      </c>
      <c r="M137" s="343">
        <v>2019</v>
      </c>
      <c r="N137" s="344">
        <v>0</v>
      </c>
      <c r="O137" s="345">
        <v>43125</v>
      </c>
      <c r="P137" s="345">
        <v>43125</v>
      </c>
    </row>
    <row r="138" spans="1:16" ht="14.25">
      <c r="A138" s="339">
        <v>2018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2</v>
      </c>
      <c r="M138" s="343">
        <v>2020</v>
      </c>
      <c r="N138" s="344">
        <v>0</v>
      </c>
      <c r="O138" s="345">
        <v>43125</v>
      </c>
      <c r="P138" s="345">
        <v>43125</v>
      </c>
    </row>
    <row r="139" spans="1:16" ht="14.25">
      <c r="A139" s="339">
        <v>2018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440</v>
      </c>
      <c r="H139" s="341">
        <v>9</v>
      </c>
      <c r="I139" s="341"/>
      <c r="J139" s="341" t="s">
        <v>115</v>
      </c>
      <c r="K139" s="342" t="b">
        <f t="shared" si="4"/>
        <v>0</v>
      </c>
      <c r="L139" s="342">
        <v>0</v>
      </c>
      <c r="M139" s="343">
        <v>2018</v>
      </c>
      <c r="N139" s="344">
        <v>0</v>
      </c>
      <c r="O139" s="345">
        <v>43125</v>
      </c>
      <c r="P139" s="345">
        <v>43125</v>
      </c>
    </row>
    <row r="140" spans="1:16" ht="14.25">
      <c r="A140" s="339">
        <v>2018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aca="true" t="shared" si="5" ref="K140:K210">TRUE</f>
        <v>1</v>
      </c>
      <c r="L140" s="342">
        <v>7</v>
      </c>
      <c r="M140" s="343">
        <v>2025</v>
      </c>
      <c r="N140" s="344">
        <v>0</v>
      </c>
      <c r="O140" s="345">
        <v>43125</v>
      </c>
      <c r="P140" s="345">
        <v>43125</v>
      </c>
    </row>
    <row r="141" spans="1:16" ht="14.25">
      <c r="A141" s="339">
        <v>2018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2</v>
      </c>
      <c r="M141" s="343">
        <v>2020</v>
      </c>
      <c r="N141" s="344">
        <v>0</v>
      </c>
      <c r="O141" s="345">
        <v>43125</v>
      </c>
      <c r="P141" s="345">
        <v>43125</v>
      </c>
    </row>
    <row r="142" spans="1:16" ht="14.25">
      <c r="A142" s="339">
        <v>2018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1</v>
      </c>
      <c r="M142" s="343">
        <v>2019</v>
      </c>
      <c r="N142" s="344">
        <v>0</v>
      </c>
      <c r="O142" s="345">
        <v>43125</v>
      </c>
      <c r="P142" s="345">
        <v>43125</v>
      </c>
    </row>
    <row r="143" spans="1:16" ht="14.25">
      <c r="A143" s="339">
        <v>2018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4</v>
      </c>
      <c r="M143" s="343">
        <v>2022</v>
      </c>
      <c r="N143" s="344">
        <v>0</v>
      </c>
      <c r="O143" s="345">
        <v>43125</v>
      </c>
      <c r="P143" s="345">
        <v>43125</v>
      </c>
    </row>
    <row r="144" spans="1:16" ht="14.25">
      <c r="A144" s="339">
        <v>2018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3</v>
      </c>
      <c r="M144" s="343">
        <v>2021</v>
      </c>
      <c r="N144" s="344">
        <v>0</v>
      </c>
      <c r="O144" s="345">
        <v>43125</v>
      </c>
      <c r="P144" s="345">
        <v>43125</v>
      </c>
    </row>
    <row r="145" spans="1:16" ht="14.25">
      <c r="A145" s="339">
        <v>2018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6</v>
      </c>
      <c r="M145" s="343">
        <v>2024</v>
      </c>
      <c r="N145" s="344">
        <v>0</v>
      </c>
      <c r="O145" s="345">
        <v>43125</v>
      </c>
      <c r="P145" s="345">
        <v>43125</v>
      </c>
    </row>
    <row r="146" spans="1:16" ht="14.25">
      <c r="A146" s="339">
        <v>2018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0</v>
      </c>
      <c r="M146" s="343">
        <v>2018</v>
      </c>
      <c r="N146" s="344">
        <v>0</v>
      </c>
      <c r="O146" s="345">
        <v>43125</v>
      </c>
      <c r="P146" s="345">
        <v>43125</v>
      </c>
    </row>
    <row r="147" spans="1:16" ht="14.25">
      <c r="A147" s="339">
        <v>2018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8</v>
      </c>
      <c r="M147" s="343">
        <v>2026</v>
      </c>
      <c r="N147" s="344">
        <v>0</v>
      </c>
      <c r="O147" s="345">
        <v>43125</v>
      </c>
      <c r="P147" s="345">
        <v>43125</v>
      </c>
    </row>
    <row r="148" spans="1:16" ht="14.25">
      <c r="A148" s="339">
        <v>2018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490</v>
      </c>
      <c r="H148" s="341">
        <v>9.3</v>
      </c>
      <c r="I148" s="341"/>
      <c r="J148" s="341" t="s">
        <v>123</v>
      </c>
      <c r="K148" s="342" t="b">
        <f t="shared" si="5"/>
        <v>1</v>
      </c>
      <c r="L148" s="342">
        <v>5</v>
      </c>
      <c r="M148" s="343">
        <v>2023</v>
      </c>
      <c r="N148" s="344">
        <v>0</v>
      </c>
      <c r="O148" s="345">
        <v>43125</v>
      </c>
      <c r="P148" s="345">
        <v>43125</v>
      </c>
    </row>
    <row r="149" spans="1:16" ht="14.25">
      <c r="A149" s="339">
        <v>2018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5</v>
      </c>
      <c r="M149" s="343">
        <v>2023</v>
      </c>
      <c r="N149" s="344">
        <v>0</v>
      </c>
      <c r="O149" s="345">
        <v>43125</v>
      </c>
      <c r="P149" s="345">
        <v>43125</v>
      </c>
    </row>
    <row r="150" spans="1:16" ht="14.25">
      <c r="A150" s="339">
        <v>2018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7</v>
      </c>
      <c r="M150" s="343">
        <v>2025</v>
      </c>
      <c r="N150" s="344">
        <v>0</v>
      </c>
      <c r="O150" s="345">
        <v>43125</v>
      </c>
      <c r="P150" s="345">
        <v>43125</v>
      </c>
    </row>
    <row r="151" spans="1:16" ht="14.25">
      <c r="A151" s="339">
        <v>2018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4</v>
      </c>
      <c r="M151" s="343">
        <v>2022</v>
      </c>
      <c r="N151" s="344">
        <v>0</v>
      </c>
      <c r="O151" s="345">
        <v>43125</v>
      </c>
      <c r="P151" s="345">
        <v>43125</v>
      </c>
    </row>
    <row r="152" spans="1:16" ht="14.25">
      <c r="A152" s="339">
        <v>2018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2</v>
      </c>
      <c r="M152" s="343">
        <v>2020</v>
      </c>
      <c r="N152" s="344">
        <v>617916.14</v>
      </c>
      <c r="O152" s="345">
        <v>43125</v>
      </c>
      <c r="P152" s="345">
        <v>43125</v>
      </c>
    </row>
    <row r="153" spans="1:16" ht="14.25">
      <c r="A153" s="339">
        <v>2018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0</v>
      </c>
      <c r="M153" s="343">
        <v>2018</v>
      </c>
      <c r="N153" s="344">
        <v>9683850.95</v>
      </c>
      <c r="O153" s="345">
        <v>43125</v>
      </c>
      <c r="P153" s="345">
        <v>43125</v>
      </c>
    </row>
    <row r="154" spans="1:16" ht="14.25">
      <c r="A154" s="339">
        <v>2018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8</v>
      </c>
      <c r="M154" s="343">
        <v>2026</v>
      </c>
      <c r="N154" s="344">
        <v>0</v>
      </c>
      <c r="O154" s="345">
        <v>43125</v>
      </c>
      <c r="P154" s="345">
        <v>43125</v>
      </c>
    </row>
    <row r="155" spans="1:16" ht="14.25">
      <c r="A155" s="339">
        <v>2018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3</v>
      </c>
      <c r="M155" s="343">
        <v>2021</v>
      </c>
      <c r="N155" s="344">
        <v>2977629.81</v>
      </c>
      <c r="O155" s="345">
        <v>43125</v>
      </c>
      <c r="P155" s="345">
        <v>43125</v>
      </c>
    </row>
    <row r="156" spans="1:16" ht="14.25">
      <c r="A156" s="339">
        <v>2018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6</v>
      </c>
      <c r="M156" s="343">
        <v>2024</v>
      </c>
      <c r="N156" s="344">
        <v>0</v>
      </c>
      <c r="O156" s="345">
        <v>43125</v>
      </c>
      <c r="P156" s="345">
        <v>43125</v>
      </c>
    </row>
    <row r="157" spans="1:16" ht="14.25">
      <c r="A157" s="339">
        <v>2018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7</v>
      </c>
      <c r="M157" s="343">
        <v>2025</v>
      </c>
      <c r="N157" s="344">
        <v>0</v>
      </c>
      <c r="O157" s="345">
        <v>43125</v>
      </c>
      <c r="P157" s="345">
        <v>43125</v>
      </c>
    </row>
    <row r="158" spans="1:16" ht="14.25">
      <c r="A158" s="339">
        <v>2018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2</v>
      </c>
      <c r="M158" s="343">
        <v>2020</v>
      </c>
      <c r="N158" s="344">
        <v>0</v>
      </c>
      <c r="O158" s="345">
        <v>43125</v>
      </c>
      <c r="P158" s="345">
        <v>43125</v>
      </c>
    </row>
    <row r="159" spans="1:16" ht="14.25">
      <c r="A159" s="339">
        <v>2018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0</v>
      </c>
      <c r="M159" s="343">
        <v>2018</v>
      </c>
      <c r="N159" s="344">
        <v>0</v>
      </c>
      <c r="O159" s="345">
        <v>43125</v>
      </c>
      <c r="P159" s="345">
        <v>43125</v>
      </c>
    </row>
    <row r="160" spans="1:16" ht="14.25">
      <c r="A160" s="339">
        <v>2018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1</v>
      </c>
      <c r="M160" s="343">
        <v>2019</v>
      </c>
      <c r="N160" s="344">
        <v>0</v>
      </c>
      <c r="O160" s="345">
        <v>43125</v>
      </c>
      <c r="P160" s="345">
        <v>43125</v>
      </c>
    </row>
    <row r="161" spans="1:16" ht="14.25">
      <c r="A161" s="339">
        <v>2018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4</v>
      </c>
      <c r="M161" s="343">
        <v>2022</v>
      </c>
      <c r="N161" s="344">
        <v>0</v>
      </c>
      <c r="O161" s="345">
        <v>43125</v>
      </c>
      <c r="P161" s="345">
        <v>43125</v>
      </c>
    </row>
    <row r="162" spans="1:16" ht="14.25">
      <c r="A162" s="339">
        <v>2018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5</v>
      </c>
      <c r="M162" s="343">
        <v>2023</v>
      </c>
      <c r="N162" s="344">
        <v>0</v>
      </c>
      <c r="O162" s="345">
        <v>43125</v>
      </c>
      <c r="P162" s="345">
        <v>43125</v>
      </c>
    </row>
    <row r="163" spans="1:16" ht="14.25">
      <c r="A163" s="339">
        <v>2018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3</v>
      </c>
      <c r="M163" s="343">
        <v>2021</v>
      </c>
      <c r="N163" s="344">
        <v>0</v>
      </c>
      <c r="O163" s="345">
        <v>43125</v>
      </c>
      <c r="P163" s="345">
        <v>43125</v>
      </c>
    </row>
    <row r="164" spans="1:16" ht="14.25">
      <c r="A164" s="339">
        <v>2018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6</v>
      </c>
      <c r="M164" s="343">
        <v>2024</v>
      </c>
      <c r="N164" s="344">
        <v>0</v>
      </c>
      <c r="O164" s="345">
        <v>43125</v>
      </c>
      <c r="P164" s="345">
        <v>43125</v>
      </c>
    </row>
    <row r="165" spans="1:16" ht="14.25">
      <c r="A165" s="339">
        <v>2018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8</v>
      </c>
      <c r="M165" s="343">
        <v>2026</v>
      </c>
      <c r="N165" s="344">
        <v>0</v>
      </c>
      <c r="O165" s="345">
        <v>43125</v>
      </c>
      <c r="P165" s="345">
        <v>43125</v>
      </c>
    </row>
    <row r="166" spans="1:16" ht="14.25">
      <c r="A166" s="339">
        <v>2018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8</v>
      </c>
      <c r="M166" s="343">
        <v>2026</v>
      </c>
      <c r="N166" s="344">
        <v>0</v>
      </c>
      <c r="O166" s="345">
        <v>43125</v>
      </c>
      <c r="P166" s="345">
        <v>43125</v>
      </c>
    </row>
    <row r="167" spans="1:16" ht="14.25">
      <c r="A167" s="339">
        <v>2018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2</v>
      </c>
      <c r="M167" s="343">
        <v>2020</v>
      </c>
      <c r="N167" s="344">
        <v>0</v>
      </c>
      <c r="O167" s="345">
        <v>43125</v>
      </c>
      <c r="P167" s="345">
        <v>43125</v>
      </c>
    </row>
    <row r="168" spans="1:16" ht="14.25">
      <c r="A168" s="339">
        <v>2018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0</v>
      </c>
      <c r="M168" s="343">
        <v>2018</v>
      </c>
      <c r="N168" s="344">
        <v>0</v>
      </c>
      <c r="O168" s="345">
        <v>43125</v>
      </c>
      <c r="P168" s="345">
        <v>43125</v>
      </c>
    </row>
    <row r="169" spans="1:16" ht="14.25">
      <c r="A169" s="339">
        <v>2018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1</v>
      </c>
      <c r="M169" s="343">
        <v>2019</v>
      </c>
      <c r="N169" s="344">
        <v>0</v>
      </c>
      <c r="O169" s="345">
        <v>43125</v>
      </c>
      <c r="P169" s="345">
        <v>43125</v>
      </c>
    </row>
    <row r="170" spans="1:16" ht="14.25">
      <c r="A170" s="339">
        <v>2018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4</v>
      </c>
      <c r="M170" s="343">
        <v>2022</v>
      </c>
      <c r="N170" s="344">
        <v>0</v>
      </c>
      <c r="O170" s="345">
        <v>43125</v>
      </c>
      <c r="P170" s="345">
        <v>43125</v>
      </c>
    </row>
    <row r="171" spans="1:16" ht="14.25">
      <c r="A171" s="339">
        <v>2018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7</v>
      </c>
      <c r="M171" s="343">
        <v>2025</v>
      </c>
      <c r="N171" s="344">
        <v>0</v>
      </c>
      <c r="O171" s="345">
        <v>43125</v>
      </c>
      <c r="P171" s="345">
        <v>43125</v>
      </c>
    </row>
    <row r="172" spans="1:16" ht="14.25">
      <c r="A172" s="339">
        <v>2018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6</v>
      </c>
      <c r="M172" s="343">
        <v>2024</v>
      </c>
      <c r="N172" s="344">
        <v>0</v>
      </c>
      <c r="O172" s="345">
        <v>43125</v>
      </c>
      <c r="P172" s="345">
        <v>43125</v>
      </c>
    </row>
    <row r="173" spans="1:16" ht="14.25">
      <c r="A173" s="339">
        <v>2018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3</v>
      </c>
      <c r="M173" s="343">
        <v>2021</v>
      </c>
      <c r="N173" s="344">
        <v>0</v>
      </c>
      <c r="O173" s="345">
        <v>43125</v>
      </c>
      <c r="P173" s="345">
        <v>43125</v>
      </c>
    </row>
    <row r="174" spans="1:16" ht="14.25">
      <c r="A174" s="339">
        <v>2018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5</v>
      </c>
      <c r="M174" s="343">
        <v>2023</v>
      </c>
      <c r="N174" s="344">
        <v>0</v>
      </c>
      <c r="O174" s="345">
        <v>43125</v>
      </c>
      <c r="P174" s="345">
        <v>43125</v>
      </c>
    </row>
    <row r="175" spans="1:16" ht="14.25">
      <c r="A175" s="339">
        <v>2018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8</v>
      </c>
      <c r="M175" s="343">
        <v>2026</v>
      </c>
      <c r="N175" s="344">
        <v>0</v>
      </c>
      <c r="O175" s="345">
        <v>43125</v>
      </c>
      <c r="P175" s="345">
        <v>43125</v>
      </c>
    </row>
    <row r="176" spans="1:16" ht="14.25">
      <c r="A176" s="339">
        <v>2018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0</v>
      </c>
      <c r="M176" s="343">
        <v>2018</v>
      </c>
      <c r="N176" s="344">
        <v>216869.97</v>
      </c>
      <c r="O176" s="345">
        <v>43125</v>
      </c>
      <c r="P176" s="345">
        <v>43125</v>
      </c>
    </row>
    <row r="177" spans="1:16" ht="14.25">
      <c r="A177" s="339">
        <v>2018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3</v>
      </c>
      <c r="M177" s="343">
        <v>2021</v>
      </c>
      <c r="N177" s="344">
        <v>30140</v>
      </c>
      <c r="O177" s="345">
        <v>43125</v>
      </c>
      <c r="P177" s="345">
        <v>43125</v>
      </c>
    </row>
    <row r="178" spans="1:16" ht="14.25">
      <c r="A178" s="339">
        <v>2018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5</v>
      </c>
      <c r="M178" s="343">
        <v>2023</v>
      </c>
      <c r="N178" s="344">
        <v>0</v>
      </c>
      <c r="O178" s="345">
        <v>43125</v>
      </c>
      <c r="P178" s="345">
        <v>43125</v>
      </c>
    </row>
    <row r="179" spans="1:16" ht="14.25">
      <c r="A179" s="339">
        <v>2018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6</v>
      </c>
      <c r="M179" s="343">
        <v>2024</v>
      </c>
      <c r="N179" s="344">
        <v>0</v>
      </c>
      <c r="O179" s="345">
        <v>43125</v>
      </c>
      <c r="P179" s="345">
        <v>43125</v>
      </c>
    </row>
    <row r="180" spans="1:16" ht="14.25">
      <c r="A180" s="339">
        <v>2018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7</v>
      </c>
      <c r="M180" s="343">
        <v>2025</v>
      </c>
      <c r="N180" s="344">
        <v>0</v>
      </c>
      <c r="O180" s="345">
        <v>43125</v>
      </c>
      <c r="P180" s="345">
        <v>43125</v>
      </c>
    </row>
    <row r="181" spans="1:16" ht="14.25">
      <c r="A181" s="339">
        <v>2018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4</v>
      </c>
      <c r="M181" s="343">
        <v>2022</v>
      </c>
      <c r="N181" s="344">
        <v>0</v>
      </c>
      <c r="O181" s="345">
        <v>43125</v>
      </c>
      <c r="P181" s="345">
        <v>43125</v>
      </c>
    </row>
    <row r="182" spans="1:16" ht="14.25">
      <c r="A182" s="339">
        <v>2018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2</v>
      </c>
      <c r="M182" s="343">
        <v>2020</v>
      </c>
      <c r="N182" s="344">
        <v>20300</v>
      </c>
      <c r="O182" s="345">
        <v>43125</v>
      </c>
      <c r="P182" s="345">
        <v>43125</v>
      </c>
    </row>
    <row r="183" spans="1:16" ht="14.25">
      <c r="A183" s="339">
        <v>2018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1</v>
      </c>
      <c r="M183" s="343">
        <v>2019</v>
      </c>
      <c r="N183" s="344">
        <v>115300</v>
      </c>
      <c r="O183" s="345">
        <v>43125</v>
      </c>
      <c r="P183" s="345">
        <v>43125</v>
      </c>
    </row>
    <row r="184" spans="1:16" ht="14.25">
      <c r="A184" s="339">
        <v>2018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0</v>
      </c>
      <c r="M184" s="343">
        <v>2018</v>
      </c>
      <c r="N184" s="344">
        <v>40963249.17</v>
      </c>
      <c r="O184" s="345">
        <v>43125</v>
      </c>
      <c r="P184" s="345">
        <v>43125</v>
      </c>
    </row>
    <row r="185" spans="1:16" ht="14.25">
      <c r="A185" s="339">
        <v>2018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6</v>
      </c>
      <c r="M185" s="343">
        <v>2024</v>
      </c>
      <c r="N185" s="344">
        <v>44200000</v>
      </c>
      <c r="O185" s="345">
        <v>43125</v>
      </c>
      <c r="P185" s="345">
        <v>43125</v>
      </c>
    </row>
    <row r="186" spans="1:16" ht="14.25">
      <c r="A186" s="339">
        <v>2018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2</v>
      </c>
      <c r="M186" s="343">
        <v>2020</v>
      </c>
      <c r="N186" s="344">
        <v>42200000</v>
      </c>
      <c r="O186" s="345">
        <v>43125</v>
      </c>
      <c r="P186" s="345">
        <v>43125</v>
      </c>
    </row>
    <row r="187" spans="1:16" ht="14.25">
      <c r="A187" s="339">
        <v>2018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1</v>
      </c>
      <c r="M187" s="343">
        <v>2019</v>
      </c>
      <c r="N187" s="344">
        <v>41700000</v>
      </c>
      <c r="O187" s="345">
        <v>43125</v>
      </c>
      <c r="P187" s="345">
        <v>43125</v>
      </c>
    </row>
    <row r="188" spans="1:16" ht="14.25">
      <c r="A188" s="339">
        <v>2018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3</v>
      </c>
      <c r="M188" s="343">
        <v>2021</v>
      </c>
      <c r="N188" s="344">
        <v>42700000</v>
      </c>
      <c r="O188" s="345">
        <v>43125</v>
      </c>
      <c r="P188" s="345">
        <v>43125</v>
      </c>
    </row>
    <row r="189" spans="1:16" ht="14.25">
      <c r="A189" s="339">
        <v>2018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8</v>
      </c>
      <c r="M189" s="343">
        <v>2026</v>
      </c>
      <c r="N189" s="344">
        <v>45200000</v>
      </c>
      <c r="O189" s="345">
        <v>43125</v>
      </c>
      <c r="P189" s="345">
        <v>43125</v>
      </c>
    </row>
    <row r="190" spans="1:16" ht="14.25">
      <c r="A190" s="339">
        <v>2018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5</v>
      </c>
      <c r="M190" s="343">
        <v>2023</v>
      </c>
      <c r="N190" s="344">
        <v>43700000</v>
      </c>
      <c r="O190" s="345">
        <v>43125</v>
      </c>
      <c r="P190" s="345">
        <v>43125</v>
      </c>
    </row>
    <row r="191" spans="1:16" ht="14.25">
      <c r="A191" s="339">
        <v>2018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7</v>
      </c>
      <c r="M191" s="343">
        <v>2025</v>
      </c>
      <c r="N191" s="344">
        <v>44700000</v>
      </c>
      <c r="O191" s="345">
        <v>43125</v>
      </c>
      <c r="P191" s="345">
        <v>43125</v>
      </c>
    </row>
    <row r="192" spans="1:16" ht="14.25">
      <c r="A192" s="339">
        <v>2018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4</v>
      </c>
      <c r="M192" s="343">
        <v>2022</v>
      </c>
      <c r="N192" s="344">
        <v>43200000</v>
      </c>
      <c r="O192" s="345">
        <v>43125</v>
      </c>
      <c r="P192" s="345">
        <v>43125</v>
      </c>
    </row>
    <row r="193" spans="1:16" ht="14.25">
      <c r="A193" s="339">
        <v>2018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0</v>
      </c>
      <c r="M193" s="343">
        <v>2018</v>
      </c>
      <c r="N193" s="344">
        <v>0</v>
      </c>
      <c r="O193" s="345">
        <v>43125</v>
      </c>
      <c r="P193" s="345">
        <v>43125</v>
      </c>
    </row>
    <row r="194" spans="1:16" ht="14.25">
      <c r="A194" s="339">
        <v>2018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4</v>
      </c>
      <c r="M194" s="343">
        <v>2022</v>
      </c>
      <c r="N194" s="344">
        <v>0</v>
      </c>
      <c r="O194" s="345">
        <v>43125</v>
      </c>
      <c r="P194" s="345">
        <v>43125</v>
      </c>
    </row>
    <row r="195" spans="1:16" ht="14.25">
      <c r="A195" s="339">
        <v>2018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5</v>
      </c>
      <c r="M195" s="343">
        <v>2023</v>
      </c>
      <c r="N195" s="344">
        <v>0</v>
      </c>
      <c r="O195" s="345">
        <v>43125</v>
      </c>
      <c r="P195" s="345">
        <v>43125</v>
      </c>
    </row>
    <row r="196" spans="1:16" ht="14.25">
      <c r="A196" s="339">
        <v>2018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1</v>
      </c>
      <c r="M196" s="343">
        <v>2019</v>
      </c>
      <c r="N196" s="344">
        <v>0</v>
      </c>
      <c r="O196" s="345">
        <v>43125</v>
      </c>
      <c r="P196" s="345">
        <v>43125</v>
      </c>
    </row>
    <row r="197" spans="1:16" ht="14.25">
      <c r="A197" s="339">
        <v>2018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6</v>
      </c>
      <c r="M197" s="343">
        <v>2024</v>
      </c>
      <c r="N197" s="344">
        <v>0</v>
      </c>
      <c r="O197" s="345">
        <v>43125</v>
      </c>
      <c r="P197" s="345">
        <v>43125</v>
      </c>
    </row>
    <row r="198" spans="1:16" ht="14.25">
      <c r="A198" s="339">
        <v>2018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8</v>
      </c>
      <c r="M198" s="343">
        <v>2026</v>
      </c>
      <c r="N198" s="344">
        <v>0</v>
      </c>
      <c r="O198" s="345">
        <v>43125</v>
      </c>
      <c r="P198" s="345">
        <v>43125</v>
      </c>
    </row>
    <row r="199" spans="1:16" ht="14.25">
      <c r="A199" s="339">
        <v>2018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7</v>
      </c>
      <c r="M199" s="343">
        <v>2025</v>
      </c>
      <c r="N199" s="344">
        <v>0</v>
      </c>
      <c r="O199" s="345">
        <v>43125</v>
      </c>
      <c r="P199" s="345">
        <v>43125</v>
      </c>
    </row>
    <row r="200" spans="1:16" ht="14.25">
      <c r="A200" s="339">
        <v>2018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2</v>
      </c>
      <c r="M200" s="343">
        <v>2020</v>
      </c>
      <c r="N200" s="344">
        <v>0</v>
      </c>
      <c r="O200" s="345">
        <v>43125</v>
      </c>
      <c r="P200" s="345">
        <v>43125</v>
      </c>
    </row>
    <row r="201" spans="1:16" ht="14.25">
      <c r="A201" s="339">
        <v>2018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3</v>
      </c>
      <c r="M201" s="343">
        <v>2021</v>
      </c>
      <c r="N201" s="344">
        <v>0</v>
      </c>
      <c r="O201" s="345">
        <v>43125</v>
      </c>
      <c r="P201" s="345">
        <v>43125</v>
      </c>
    </row>
    <row r="202" spans="1:16" ht="14.25">
      <c r="A202" s="339">
        <v>2018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8</v>
      </c>
      <c r="M202" s="343">
        <v>2026</v>
      </c>
      <c r="N202" s="344">
        <v>0</v>
      </c>
      <c r="O202" s="345">
        <v>43125</v>
      </c>
      <c r="P202" s="345">
        <v>43125</v>
      </c>
    </row>
    <row r="203" spans="1:16" ht="14.25">
      <c r="A203" s="339">
        <v>2018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7</v>
      </c>
      <c r="M203" s="343">
        <v>2025</v>
      </c>
      <c r="N203" s="344">
        <v>0</v>
      </c>
      <c r="O203" s="345">
        <v>43125</v>
      </c>
      <c r="P203" s="345">
        <v>43125</v>
      </c>
    </row>
    <row r="204" spans="1:16" ht="14.25">
      <c r="A204" s="339">
        <v>2018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1</v>
      </c>
      <c r="M204" s="343">
        <v>2019</v>
      </c>
      <c r="N204" s="344">
        <v>0</v>
      </c>
      <c r="O204" s="345">
        <v>43125</v>
      </c>
      <c r="P204" s="345">
        <v>43125</v>
      </c>
    </row>
    <row r="205" spans="1:16" ht="14.25">
      <c r="A205" s="339">
        <v>2018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6</v>
      </c>
      <c r="M205" s="343">
        <v>2024</v>
      </c>
      <c r="N205" s="344">
        <v>0</v>
      </c>
      <c r="O205" s="345">
        <v>43125</v>
      </c>
      <c r="P205" s="345">
        <v>43125</v>
      </c>
    </row>
    <row r="206" spans="1:16" ht="14.25">
      <c r="A206" s="339">
        <v>2018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0</v>
      </c>
      <c r="M206" s="343">
        <v>2018</v>
      </c>
      <c r="N206" s="344">
        <v>1029907.2</v>
      </c>
      <c r="O206" s="345">
        <v>43125</v>
      </c>
      <c r="P206" s="345">
        <v>43125</v>
      </c>
    </row>
    <row r="207" spans="1:16" ht="14.25">
      <c r="A207" s="339">
        <v>2018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2</v>
      </c>
      <c r="M207" s="343">
        <v>2020</v>
      </c>
      <c r="N207" s="344">
        <v>0</v>
      </c>
      <c r="O207" s="345">
        <v>43125</v>
      </c>
      <c r="P207" s="345">
        <v>43125</v>
      </c>
    </row>
    <row r="208" spans="1:16" ht="14.25">
      <c r="A208" s="339">
        <v>2018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3</v>
      </c>
      <c r="M208" s="343">
        <v>2021</v>
      </c>
      <c r="N208" s="344">
        <v>0</v>
      </c>
      <c r="O208" s="345">
        <v>43125</v>
      </c>
      <c r="P208" s="345">
        <v>43125</v>
      </c>
    </row>
    <row r="209" spans="1:16" ht="14.25">
      <c r="A209" s="339">
        <v>2018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4</v>
      </c>
      <c r="M209" s="343">
        <v>2022</v>
      </c>
      <c r="N209" s="344">
        <v>0</v>
      </c>
      <c r="O209" s="345">
        <v>43125</v>
      </c>
      <c r="P209" s="345">
        <v>43125</v>
      </c>
    </row>
    <row r="210" spans="1:16" ht="14.25">
      <c r="A210" s="339">
        <v>2018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5</v>
      </c>
      <c r="M210" s="343">
        <v>2023</v>
      </c>
      <c r="N210" s="344">
        <v>0</v>
      </c>
      <c r="O210" s="345">
        <v>43125</v>
      </c>
      <c r="P210" s="345">
        <v>43125</v>
      </c>
    </row>
    <row r="211" spans="1:16" ht="14.25">
      <c r="A211" s="339">
        <v>2018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2</v>
      </c>
      <c r="M211" s="343">
        <v>2020</v>
      </c>
      <c r="N211" s="344">
        <v>0</v>
      </c>
      <c r="O211" s="345">
        <v>43125</v>
      </c>
      <c r="P211" s="345">
        <v>43125</v>
      </c>
    </row>
    <row r="212" spans="1:16" ht="14.25">
      <c r="A212" s="339">
        <v>2018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8</v>
      </c>
      <c r="M212" s="343">
        <v>2026</v>
      </c>
      <c r="N212" s="344">
        <v>0</v>
      </c>
      <c r="O212" s="345">
        <v>43125</v>
      </c>
      <c r="P212" s="345">
        <v>43125</v>
      </c>
    </row>
    <row r="213" spans="1:16" ht="14.25">
      <c r="A213" s="339">
        <v>2018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4</v>
      </c>
      <c r="M213" s="343">
        <v>2022</v>
      </c>
      <c r="N213" s="344">
        <v>0</v>
      </c>
      <c r="O213" s="345">
        <v>43125</v>
      </c>
      <c r="P213" s="345">
        <v>43125</v>
      </c>
    </row>
    <row r="214" spans="1:16" ht="14.25">
      <c r="A214" s="339">
        <v>2018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1</v>
      </c>
      <c r="M214" s="343">
        <v>2019</v>
      </c>
      <c r="N214" s="344">
        <v>0</v>
      </c>
      <c r="O214" s="345">
        <v>43125</v>
      </c>
      <c r="P214" s="345">
        <v>43125</v>
      </c>
    </row>
    <row r="215" spans="1:16" ht="14.25">
      <c r="A215" s="339">
        <v>2018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5</v>
      </c>
      <c r="M215" s="343">
        <v>2023</v>
      </c>
      <c r="N215" s="344">
        <v>0</v>
      </c>
      <c r="O215" s="345">
        <v>43125</v>
      </c>
      <c r="P215" s="345">
        <v>43125</v>
      </c>
    </row>
    <row r="216" spans="1:16" ht="14.25">
      <c r="A216" s="339">
        <v>2018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0</v>
      </c>
      <c r="M216" s="343">
        <v>2018</v>
      </c>
      <c r="N216" s="344">
        <v>0</v>
      </c>
      <c r="O216" s="345">
        <v>43125</v>
      </c>
      <c r="P216" s="345">
        <v>43125</v>
      </c>
    </row>
    <row r="217" spans="1:16" ht="14.25">
      <c r="A217" s="339">
        <v>2018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6</v>
      </c>
      <c r="M217" s="343">
        <v>2024</v>
      </c>
      <c r="N217" s="344">
        <v>0</v>
      </c>
      <c r="O217" s="345">
        <v>43125</v>
      </c>
      <c r="P217" s="345">
        <v>43125</v>
      </c>
    </row>
    <row r="218" spans="1:16" ht="14.25">
      <c r="A218" s="339">
        <v>2018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7</v>
      </c>
      <c r="M218" s="343">
        <v>2025</v>
      </c>
      <c r="N218" s="344">
        <v>0</v>
      </c>
      <c r="O218" s="345">
        <v>43125</v>
      </c>
      <c r="P218" s="345">
        <v>43125</v>
      </c>
    </row>
    <row r="219" spans="1:16" ht="14.25">
      <c r="A219" s="339">
        <v>2018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3</v>
      </c>
      <c r="M219" s="343">
        <v>2021</v>
      </c>
      <c r="N219" s="344">
        <v>0</v>
      </c>
      <c r="O219" s="345">
        <v>43125</v>
      </c>
      <c r="P219" s="345">
        <v>43125</v>
      </c>
    </row>
    <row r="220" spans="1:16" ht="14.25">
      <c r="A220" s="339">
        <v>2018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4</v>
      </c>
      <c r="M220" s="343">
        <v>2022</v>
      </c>
      <c r="N220" s="344">
        <v>0</v>
      </c>
      <c r="O220" s="345">
        <v>43125</v>
      </c>
      <c r="P220" s="345">
        <v>43125</v>
      </c>
    </row>
    <row r="221" spans="1:16" ht="14.25">
      <c r="A221" s="339">
        <v>2018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7</v>
      </c>
      <c r="M221" s="343">
        <v>2025</v>
      </c>
      <c r="N221" s="344">
        <v>0</v>
      </c>
      <c r="O221" s="345">
        <v>43125</v>
      </c>
      <c r="P221" s="345">
        <v>43125</v>
      </c>
    </row>
    <row r="222" spans="1:16" ht="14.25">
      <c r="A222" s="339">
        <v>2018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8</v>
      </c>
      <c r="M222" s="343">
        <v>2026</v>
      </c>
      <c r="N222" s="344">
        <v>0</v>
      </c>
      <c r="O222" s="345">
        <v>43125</v>
      </c>
      <c r="P222" s="345">
        <v>43125</v>
      </c>
    </row>
    <row r="223" spans="1:16" ht="14.25">
      <c r="A223" s="339">
        <v>2018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2</v>
      </c>
      <c r="M223" s="343">
        <v>2020</v>
      </c>
      <c r="N223" s="344">
        <v>0</v>
      </c>
      <c r="O223" s="345">
        <v>43125</v>
      </c>
      <c r="P223" s="345">
        <v>43125</v>
      </c>
    </row>
    <row r="224" spans="1:16" ht="14.25">
      <c r="A224" s="339">
        <v>2018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3</v>
      </c>
      <c r="M224" s="343">
        <v>2021</v>
      </c>
      <c r="N224" s="344">
        <v>0</v>
      </c>
      <c r="O224" s="345">
        <v>43125</v>
      </c>
      <c r="P224" s="345">
        <v>43125</v>
      </c>
    </row>
    <row r="225" spans="1:16" ht="14.25">
      <c r="A225" s="339">
        <v>2018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5</v>
      </c>
      <c r="M225" s="343">
        <v>2023</v>
      </c>
      <c r="N225" s="344">
        <v>0</v>
      </c>
      <c r="O225" s="345">
        <v>43125</v>
      </c>
      <c r="P225" s="345">
        <v>43125</v>
      </c>
    </row>
    <row r="226" spans="1:16" ht="14.25">
      <c r="A226" s="339">
        <v>2018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6</v>
      </c>
      <c r="M226" s="343">
        <v>2024</v>
      </c>
      <c r="N226" s="344">
        <v>0</v>
      </c>
      <c r="O226" s="345">
        <v>43125</v>
      </c>
      <c r="P226" s="345">
        <v>43125</v>
      </c>
    </row>
    <row r="227" spans="1:16" ht="14.25">
      <c r="A227" s="339">
        <v>2018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1</v>
      </c>
      <c r="M227" s="343">
        <v>2019</v>
      </c>
      <c r="N227" s="344">
        <v>0</v>
      </c>
      <c r="O227" s="345">
        <v>43125</v>
      </c>
      <c r="P227" s="345">
        <v>43125</v>
      </c>
    </row>
    <row r="228" spans="1:16" ht="14.25">
      <c r="A228" s="339">
        <v>2018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0</v>
      </c>
      <c r="M228" s="343">
        <v>2018</v>
      </c>
      <c r="N228" s="344">
        <v>0</v>
      </c>
      <c r="O228" s="345">
        <v>43125</v>
      </c>
      <c r="P228" s="345">
        <v>43125</v>
      </c>
    </row>
    <row r="229" spans="1:16" ht="14.25">
      <c r="A229" s="339">
        <v>2018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6</v>
      </c>
      <c r="M229" s="343">
        <v>2024</v>
      </c>
      <c r="N229" s="344">
        <v>0</v>
      </c>
      <c r="O229" s="345">
        <v>43125</v>
      </c>
      <c r="P229" s="345">
        <v>43125</v>
      </c>
    </row>
    <row r="230" spans="1:16" ht="14.25">
      <c r="A230" s="339">
        <v>2018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5</v>
      </c>
      <c r="M230" s="343">
        <v>2023</v>
      </c>
      <c r="N230" s="344">
        <v>0</v>
      </c>
      <c r="O230" s="345">
        <v>43125</v>
      </c>
      <c r="P230" s="345">
        <v>43125</v>
      </c>
    </row>
    <row r="231" spans="1:16" ht="14.25">
      <c r="A231" s="339">
        <v>2018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0</v>
      </c>
      <c r="M231" s="343">
        <v>2018</v>
      </c>
      <c r="N231" s="344">
        <v>0</v>
      </c>
      <c r="O231" s="345">
        <v>43125</v>
      </c>
      <c r="P231" s="345">
        <v>43125</v>
      </c>
    </row>
    <row r="232" spans="1:16" ht="14.25">
      <c r="A232" s="339">
        <v>2018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1</v>
      </c>
      <c r="M232" s="343">
        <v>2019</v>
      </c>
      <c r="N232" s="344">
        <v>0</v>
      </c>
      <c r="O232" s="345">
        <v>43125</v>
      </c>
      <c r="P232" s="345">
        <v>43125</v>
      </c>
    </row>
    <row r="233" spans="1:16" ht="14.25">
      <c r="A233" s="339">
        <v>2018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2</v>
      </c>
      <c r="M233" s="343">
        <v>2020</v>
      </c>
      <c r="N233" s="344">
        <v>0</v>
      </c>
      <c r="O233" s="345">
        <v>43125</v>
      </c>
      <c r="P233" s="345">
        <v>43125</v>
      </c>
    </row>
    <row r="234" spans="1:16" ht="14.25">
      <c r="A234" s="339">
        <v>2018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8</v>
      </c>
      <c r="M234" s="343">
        <v>2026</v>
      </c>
      <c r="N234" s="344">
        <v>0</v>
      </c>
      <c r="O234" s="345">
        <v>43125</v>
      </c>
      <c r="P234" s="345">
        <v>43125</v>
      </c>
    </row>
    <row r="235" spans="1:16" ht="14.25">
      <c r="A235" s="339">
        <v>2018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7</v>
      </c>
      <c r="M235" s="343">
        <v>2025</v>
      </c>
      <c r="N235" s="344">
        <v>0</v>
      </c>
      <c r="O235" s="345">
        <v>43125</v>
      </c>
      <c r="P235" s="345">
        <v>43125</v>
      </c>
    </row>
    <row r="236" spans="1:16" ht="14.25">
      <c r="A236" s="339">
        <v>2018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3</v>
      </c>
      <c r="M236" s="343">
        <v>2021</v>
      </c>
      <c r="N236" s="344">
        <v>0</v>
      </c>
      <c r="O236" s="345">
        <v>43125</v>
      </c>
      <c r="P236" s="345">
        <v>43125</v>
      </c>
    </row>
    <row r="237" spans="1:16" ht="14.25">
      <c r="A237" s="339">
        <v>2018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4</v>
      </c>
      <c r="M237" s="343">
        <v>2022</v>
      </c>
      <c r="N237" s="344">
        <v>0</v>
      </c>
      <c r="O237" s="345">
        <v>43125</v>
      </c>
      <c r="P237" s="345">
        <v>43125</v>
      </c>
    </row>
    <row r="238" spans="1:16" ht="14.25">
      <c r="A238" s="339">
        <v>2018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7</v>
      </c>
      <c r="M238" s="343">
        <v>2025</v>
      </c>
      <c r="N238" s="344">
        <v>0</v>
      </c>
      <c r="O238" s="345">
        <v>43125</v>
      </c>
      <c r="P238" s="345">
        <v>43125</v>
      </c>
    </row>
    <row r="239" spans="1:16" ht="14.25">
      <c r="A239" s="339">
        <v>2018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3</v>
      </c>
      <c r="M239" s="343">
        <v>2021</v>
      </c>
      <c r="N239" s="344">
        <v>0</v>
      </c>
      <c r="O239" s="345">
        <v>43125</v>
      </c>
      <c r="P239" s="345">
        <v>43125</v>
      </c>
    </row>
    <row r="240" spans="1:16" ht="14.25">
      <c r="A240" s="339">
        <v>2018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1</v>
      </c>
      <c r="M240" s="343">
        <v>2019</v>
      </c>
      <c r="N240" s="344">
        <v>0</v>
      </c>
      <c r="O240" s="345">
        <v>43125</v>
      </c>
      <c r="P240" s="345">
        <v>43125</v>
      </c>
    </row>
    <row r="241" spans="1:16" ht="14.25">
      <c r="A241" s="339">
        <v>2018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4</v>
      </c>
      <c r="M241" s="343">
        <v>2022</v>
      </c>
      <c r="N241" s="344">
        <v>0</v>
      </c>
      <c r="O241" s="345">
        <v>43125</v>
      </c>
      <c r="P241" s="345">
        <v>43125</v>
      </c>
    </row>
    <row r="242" spans="1:16" ht="14.25">
      <c r="A242" s="339">
        <v>2018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8</v>
      </c>
      <c r="M242" s="343">
        <v>2026</v>
      </c>
      <c r="N242" s="344">
        <v>0</v>
      </c>
      <c r="O242" s="345">
        <v>43125</v>
      </c>
      <c r="P242" s="345">
        <v>43125</v>
      </c>
    </row>
    <row r="243" spans="1:16" ht="14.25">
      <c r="A243" s="339">
        <v>2018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6</v>
      </c>
      <c r="M243" s="343">
        <v>2024</v>
      </c>
      <c r="N243" s="344">
        <v>0</v>
      </c>
      <c r="O243" s="345">
        <v>43125</v>
      </c>
      <c r="P243" s="345">
        <v>43125</v>
      </c>
    </row>
    <row r="244" spans="1:16" ht="14.25">
      <c r="A244" s="339">
        <v>2018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0</v>
      </c>
      <c r="M244" s="343">
        <v>2018</v>
      </c>
      <c r="N244" s="344">
        <v>0</v>
      </c>
      <c r="O244" s="345">
        <v>43125</v>
      </c>
      <c r="P244" s="345">
        <v>43125</v>
      </c>
    </row>
    <row r="245" spans="1:16" ht="14.25">
      <c r="A245" s="339">
        <v>2018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5</v>
      </c>
      <c r="M245" s="343">
        <v>2023</v>
      </c>
      <c r="N245" s="344">
        <v>0</v>
      </c>
      <c r="O245" s="345">
        <v>43125</v>
      </c>
      <c r="P245" s="345">
        <v>43125</v>
      </c>
    </row>
    <row r="246" spans="1:16" ht="14.25">
      <c r="A246" s="339">
        <v>2018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2</v>
      </c>
      <c r="M246" s="343">
        <v>2020</v>
      </c>
      <c r="N246" s="344">
        <v>0</v>
      </c>
      <c r="O246" s="345">
        <v>43125</v>
      </c>
      <c r="P246" s="345">
        <v>43125</v>
      </c>
    </row>
    <row r="247" spans="1:16" ht="14.25">
      <c r="A247" s="339">
        <v>2018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7</v>
      </c>
      <c r="M247" s="343">
        <v>2025</v>
      </c>
      <c r="N247" s="344">
        <v>1085316.79</v>
      </c>
      <c r="O247" s="345">
        <v>43125</v>
      </c>
      <c r="P247" s="345">
        <v>43125</v>
      </c>
    </row>
    <row r="248" spans="1:16" ht="14.25">
      <c r="A248" s="339">
        <v>2018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2</v>
      </c>
      <c r="M248" s="343">
        <v>2020</v>
      </c>
      <c r="N248" s="344">
        <v>2210004</v>
      </c>
      <c r="O248" s="345">
        <v>43125</v>
      </c>
      <c r="P248" s="345">
        <v>43125</v>
      </c>
    </row>
    <row r="249" spans="1:16" ht="14.25">
      <c r="A249" s="339">
        <v>2018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5</v>
      </c>
      <c r="M249" s="343">
        <v>2023</v>
      </c>
      <c r="N249" s="344">
        <v>2418000</v>
      </c>
      <c r="O249" s="345">
        <v>43125</v>
      </c>
      <c r="P249" s="345">
        <v>43125</v>
      </c>
    </row>
    <row r="250" spans="1:16" ht="14.25">
      <c r="A250" s="339">
        <v>2018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4</v>
      </c>
      <c r="M250" s="343">
        <v>2022</v>
      </c>
      <c r="N250" s="344">
        <v>2250004</v>
      </c>
      <c r="O250" s="345">
        <v>43125</v>
      </c>
      <c r="P250" s="345">
        <v>43125</v>
      </c>
    </row>
    <row r="251" spans="1:16" ht="14.25">
      <c r="A251" s="339">
        <v>2018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1</v>
      </c>
      <c r="M251" s="343">
        <v>2019</v>
      </c>
      <c r="N251" s="344">
        <v>1860004</v>
      </c>
      <c r="O251" s="345">
        <v>43125</v>
      </c>
      <c r="P251" s="345">
        <v>43125</v>
      </c>
    </row>
    <row r="252" spans="1:16" ht="14.25">
      <c r="A252" s="339">
        <v>2018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3</v>
      </c>
      <c r="M252" s="343">
        <v>2021</v>
      </c>
      <c r="N252" s="344">
        <v>2210004</v>
      </c>
      <c r="O252" s="345">
        <v>43125</v>
      </c>
      <c r="P252" s="345">
        <v>43125</v>
      </c>
    </row>
    <row r="253" spans="1:16" ht="14.25">
      <c r="A253" s="339">
        <v>2018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8</v>
      </c>
      <c r="M253" s="343">
        <v>2026</v>
      </c>
      <c r="N253" s="344">
        <v>1198341.68</v>
      </c>
      <c r="O253" s="345">
        <v>43125</v>
      </c>
      <c r="P253" s="345">
        <v>43125</v>
      </c>
    </row>
    <row r="254" spans="1:16" ht="14.25">
      <c r="A254" s="339">
        <v>2018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0</v>
      </c>
      <c r="M254" s="343">
        <v>2018</v>
      </c>
      <c r="N254" s="344">
        <v>0</v>
      </c>
      <c r="O254" s="345">
        <v>43125</v>
      </c>
      <c r="P254" s="345">
        <v>43125</v>
      </c>
    </row>
    <row r="255" spans="1:16" ht="14.25">
      <c r="A255" s="339">
        <v>2018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6</v>
      </c>
      <c r="M255" s="343">
        <v>2024</v>
      </c>
      <c r="N255" s="344">
        <v>1250000</v>
      </c>
      <c r="O255" s="345">
        <v>43125</v>
      </c>
      <c r="P255" s="345">
        <v>43125</v>
      </c>
    </row>
    <row r="256" spans="1:16" ht="14.25">
      <c r="A256" s="339">
        <v>2018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1">TRUE</f>
        <v>1</v>
      </c>
      <c r="L256" s="342">
        <v>7</v>
      </c>
      <c r="M256" s="343">
        <v>2025</v>
      </c>
      <c r="N256" s="344">
        <v>0</v>
      </c>
      <c r="O256" s="345">
        <v>43125</v>
      </c>
      <c r="P256" s="345">
        <v>43125</v>
      </c>
    </row>
    <row r="257" spans="1:16" ht="14.25">
      <c r="A257" s="339">
        <v>2018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4</v>
      </c>
      <c r="M257" s="343">
        <v>2022</v>
      </c>
      <c r="N257" s="344">
        <v>0</v>
      </c>
      <c r="O257" s="345">
        <v>43125</v>
      </c>
      <c r="P257" s="345">
        <v>43125</v>
      </c>
    </row>
    <row r="258" spans="1:16" ht="14.25">
      <c r="A258" s="339">
        <v>2018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1</v>
      </c>
      <c r="M258" s="343">
        <v>2019</v>
      </c>
      <c r="N258" s="344">
        <v>12240</v>
      </c>
      <c r="O258" s="345">
        <v>43125</v>
      </c>
      <c r="P258" s="345">
        <v>43125</v>
      </c>
    </row>
    <row r="259" spans="1:16" ht="14.25">
      <c r="A259" s="339">
        <v>2018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5</v>
      </c>
      <c r="M259" s="343">
        <v>2023</v>
      </c>
      <c r="N259" s="344">
        <v>0</v>
      </c>
      <c r="O259" s="345">
        <v>43125</v>
      </c>
      <c r="P259" s="345">
        <v>43125</v>
      </c>
    </row>
    <row r="260" spans="1:16" ht="14.25">
      <c r="A260" s="339">
        <v>2018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6</v>
      </c>
      <c r="M260" s="343">
        <v>2024</v>
      </c>
      <c r="N260" s="344">
        <v>0</v>
      </c>
      <c r="O260" s="345">
        <v>43125</v>
      </c>
      <c r="P260" s="345">
        <v>43125</v>
      </c>
    </row>
    <row r="261" spans="1:16" ht="14.25">
      <c r="A261" s="339">
        <v>2018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0</v>
      </c>
      <c r="M261" s="343">
        <v>2018</v>
      </c>
      <c r="N261" s="344">
        <v>131258.67</v>
      </c>
      <c r="O261" s="345">
        <v>43125</v>
      </c>
      <c r="P261" s="345">
        <v>43125</v>
      </c>
    </row>
    <row r="262" spans="1:16" ht="14.25">
      <c r="A262" s="339">
        <v>2018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8</v>
      </c>
      <c r="M262" s="343">
        <v>2026</v>
      </c>
      <c r="N262" s="344">
        <v>0</v>
      </c>
      <c r="O262" s="345">
        <v>43125</v>
      </c>
      <c r="P262" s="345">
        <v>43125</v>
      </c>
    </row>
    <row r="263" spans="1:16" ht="14.25">
      <c r="A263" s="339">
        <v>2018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2</v>
      </c>
      <c r="M263" s="343">
        <v>2020</v>
      </c>
      <c r="N263" s="344">
        <v>12240</v>
      </c>
      <c r="O263" s="345">
        <v>43125</v>
      </c>
      <c r="P263" s="345">
        <v>43125</v>
      </c>
    </row>
    <row r="264" spans="1:16" ht="14.25">
      <c r="A264" s="339">
        <v>2018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3</v>
      </c>
      <c r="M264" s="343">
        <v>2021</v>
      </c>
      <c r="N264" s="344">
        <v>17680</v>
      </c>
      <c r="O264" s="345">
        <v>43125</v>
      </c>
      <c r="P264" s="345">
        <v>43125</v>
      </c>
    </row>
    <row r="265" spans="1:16" ht="14.25">
      <c r="A265" s="339">
        <v>2018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8</v>
      </c>
      <c r="M265" s="343">
        <v>2026</v>
      </c>
      <c r="N265" s="344">
        <v>0</v>
      </c>
      <c r="O265" s="345">
        <v>43125</v>
      </c>
      <c r="P265" s="345">
        <v>43125</v>
      </c>
    </row>
    <row r="266" spans="1:16" ht="14.25">
      <c r="A266" s="339">
        <v>2018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1"/>
        <v>1</v>
      </c>
      <c r="L266" s="342">
        <v>4</v>
      </c>
      <c r="M266" s="343">
        <v>2022</v>
      </c>
      <c r="N266" s="344">
        <v>0</v>
      </c>
      <c r="O266" s="345">
        <v>43125</v>
      </c>
      <c r="P266" s="345">
        <v>43125</v>
      </c>
    </row>
    <row r="267" spans="1:16" ht="14.25">
      <c r="A267" s="339">
        <v>2018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1"/>
        <v>1</v>
      </c>
      <c r="L267" s="342">
        <v>5</v>
      </c>
      <c r="M267" s="343">
        <v>2023</v>
      </c>
      <c r="N267" s="344">
        <v>0</v>
      </c>
      <c r="O267" s="345">
        <v>43125</v>
      </c>
      <c r="P267" s="345">
        <v>43125</v>
      </c>
    </row>
    <row r="268" spans="1:16" ht="14.25">
      <c r="A268" s="339">
        <v>2018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2</v>
      </c>
      <c r="M268" s="343">
        <v>2020</v>
      </c>
      <c r="N268" s="344">
        <v>0</v>
      </c>
      <c r="O268" s="345">
        <v>43125</v>
      </c>
      <c r="P268" s="345">
        <v>43125</v>
      </c>
    </row>
    <row r="269" spans="1:16" ht="14.25">
      <c r="A269" s="339">
        <v>2018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6</v>
      </c>
      <c r="M269" s="343">
        <v>2024</v>
      </c>
      <c r="N269" s="344">
        <v>0</v>
      </c>
      <c r="O269" s="345">
        <v>43125</v>
      </c>
      <c r="P269" s="345">
        <v>43125</v>
      </c>
    </row>
    <row r="270" spans="1:16" ht="14.25">
      <c r="A270" s="339">
        <v>2018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1</v>
      </c>
      <c r="M270" s="343">
        <v>2019</v>
      </c>
      <c r="N270" s="344">
        <v>0</v>
      </c>
      <c r="O270" s="345">
        <v>43125</v>
      </c>
      <c r="P270" s="345">
        <v>43125</v>
      </c>
    </row>
    <row r="271" spans="1:16" ht="14.25">
      <c r="A271" s="339">
        <v>2018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0</v>
      </c>
      <c r="M271" s="343">
        <v>2018</v>
      </c>
      <c r="N271" s="344">
        <v>0</v>
      </c>
      <c r="O271" s="345">
        <v>43125</v>
      </c>
      <c r="P271" s="345">
        <v>43125</v>
      </c>
    </row>
    <row r="272" spans="1:16" ht="14.25">
      <c r="A272" s="339">
        <v>2018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7</v>
      </c>
      <c r="M272" s="343">
        <v>2025</v>
      </c>
      <c r="N272" s="344">
        <v>0</v>
      </c>
      <c r="O272" s="345">
        <v>43125</v>
      </c>
      <c r="P272" s="345">
        <v>43125</v>
      </c>
    </row>
    <row r="273" spans="1:16" ht="14.25">
      <c r="A273" s="339">
        <v>2018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3</v>
      </c>
      <c r="M273" s="343">
        <v>2021</v>
      </c>
      <c r="N273" s="344">
        <v>0</v>
      </c>
      <c r="O273" s="345">
        <v>43125</v>
      </c>
      <c r="P273" s="345">
        <v>43125</v>
      </c>
    </row>
    <row r="274" spans="1:16" ht="14.25">
      <c r="A274" s="339">
        <v>2018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1"/>
        <v>1</v>
      </c>
      <c r="L274" s="342">
        <v>0</v>
      </c>
      <c r="M274" s="343">
        <v>2018</v>
      </c>
      <c r="N274" s="344">
        <v>0</v>
      </c>
      <c r="O274" s="345">
        <v>43125</v>
      </c>
      <c r="P274" s="345">
        <v>43125</v>
      </c>
    </row>
    <row r="275" spans="1:16" ht="14.25">
      <c r="A275" s="339">
        <v>2018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1"/>
        <v>1</v>
      </c>
      <c r="L275" s="342">
        <v>2</v>
      </c>
      <c r="M275" s="343">
        <v>2020</v>
      </c>
      <c r="N275" s="344">
        <v>0</v>
      </c>
      <c r="O275" s="345">
        <v>43125</v>
      </c>
      <c r="P275" s="345">
        <v>43125</v>
      </c>
    </row>
    <row r="276" spans="1:16" ht="14.25">
      <c r="A276" s="339">
        <v>2018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1</v>
      </c>
      <c r="M276" s="343">
        <v>2019</v>
      </c>
      <c r="N276" s="344">
        <v>0</v>
      </c>
      <c r="O276" s="345">
        <v>43125</v>
      </c>
      <c r="P276" s="345">
        <v>43125</v>
      </c>
    </row>
    <row r="277" spans="1:16" ht="14.25">
      <c r="A277" s="339">
        <v>2018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8</v>
      </c>
      <c r="M277" s="343">
        <v>2026</v>
      </c>
      <c r="N277" s="344">
        <v>0</v>
      </c>
      <c r="O277" s="345">
        <v>43125</v>
      </c>
      <c r="P277" s="345">
        <v>43125</v>
      </c>
    </row>
    <row r="278" spans="1:16" ht="14.25">
      <c r="A278" s="339">
        <v>2018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3</v>
      </c>
      <c r="M278" s="343">
        <v>2021</v>
      </c>
      <c r="N278" s="344">
        <v>0</v>
      </c>
      <c r="O278" s="345">
        <v>43125</v>
      </c>
      <c r="P278" s="345">
        <v>43125</v>
      </c>
    </row>
    <row r="279" spans="1:16" ht="14.25">
      <c r="A279" s="339">
        <v>2018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6</v>
      </c>
      <c r="M279" s="343">
        <v>2024</v>
      </c>
      <c r="N279" s="344">
        <v>0</v>
      </c>
      <c r="O279" s="345">
        <v>43125</v>
      </c>
      <c r="P279" s="345">
        <v>43125</v>
      </c>
    </row>
    <row r="280" spans="1:16" ht="14.25">
      <c r="A280" s="339">
        <v>2018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4</v>
      </c>
      <c r="M280" s="343">
        <v>2022</v>
      </c>
      <c r="N280" s="344">
        <v>0</v>
      </c>
      <c r="O280" s="345">
        <v>43125</v>
      </c>
      <c r="P280" s="345">
        <v>43125</v>
      </c>
    </row>
    <row r="281" spans="1:16" ht="14.25">
      <c r="A281" s="339">
        <v>2018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7</v>
      </c>
      <c r="M281" s="343">
        <v>2025</v>
      </c>
      <c r="N281" s="344">
        <v>0</v>
      </c>
      <c r="O281" s="345">
        <v>43125</v>
      </c>
      <c r="P281" s="345">
        <v>43125</v>
      </c>
    </row>
    <row r="282" spans="1:16" ht="14.25">
      <c r="A282" s="339">
        <v>2018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5</v>
      </c>
      <c r="M282" s="343">
        <v>2023</v>
      </c>
      <c r="N282" s="344">
        <v>0</v>
      </c>
      <c r="O282" s="345">
        <v>43125</v>
      </c>
      <c r="P282" s="345">
        <v>43125</v>
      </c>
    </row>
    <row r="283" spans="1:16" ht="14.25">
      <c r="A283" s="339">
        <v>2018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1"/>
        <v>1</v>
      </c>
      <c r="L283" s="342">
        <v>6</v>
      </c>
      <c r="M283" s="343">
        <v>2024</v>
      </c>
      <c r="N283" s="344">
        <v>0</v>
      </c>
      <c r="O283" s="345">
        <v>43125</v>
      </c>
      <c r="P283" s="345">
        <v>43125</v>
      </c>
    </row>
    <row r="284" spans="1:16" ht="14.25">
      <c r="A284" s="339">
        <v>2018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1"/>
        <v>1</v>
      </c>
      <c r="L284" s="342">
        <v>3</v>
      </c>
      <c r="M284" s="343">
        <v>2021</v>
      </c>
      <c r="N284" s="344">
        <v>0</v>
      </c>
      <c r="O284" s="345">
        <v>43125</v>
      </c>
      <c r="P284" s="345">
        <v>43125</v>
      </c>
    </row>
    <row r="285" spans="1:16" ht="14.25">
      <c r="A285" s="339">
        <v>2018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8</v>
      </c>
      <c r="M285" s="343">
        <v>2026</v>
      </c>
      <c r="N285" s="344">
        <v>0</v>
      </c>
      <c r="O285" s="345">
        <v>43125</v>
      </c>
      <c r="P285" s="345">
        <v>43125</v>
      </c>
    </row>
    <row r="286" spans="1:16" ht="14.25">
      <c r="A286" s="339">
        <v>2018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7</v>
      </c>
      <c r="M286" s="343">
        <v>2025</v>
      </c>
      <c r="N286" s="344">
        <v>0</v>
      </c>
      <c r="O286" s="345">
        <v>43125</v>
      </c>
      <c r="P286" s="345">
        <v>43125</v>
      </c>
    </row>
    <row r="287" spans="1:16" ht="14.25">
      <c r="A287" s="339">
        <v>2018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1</v>
      </c>
      <c r="M287" s="343">
        <v>2019</v>
      </c>
      <c r="N287" s="344">
        <v>0</v>
      </c>
      <c r="O287" s="345">
        <v>43125</v>
      </c>
      <c r="P287" s="345">
        <v>43125</v>
      </c>
    </row>
    <row r="288" spans="1:16" ht="14.25">
      <c r="A288" s="339">
        <v>2018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2</v>
      </c>
      <c r="M288" s="343">
        <v>2020</v>
      </c>
      <c r="N288" s="344">
        <v>0</v>
      </c>
      <c r="O288" s="345">
        <v>43125</v>
      </c>
      <c r="P288" s="345">
        <v>43125</v>
      </c>
    </row>
    <row r="289" spans="1:16" ht="14.25">
      <c r="A289" s="339">
        <v>2018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5</v>
      </c>
      <c r="M289" s="343">
        <v>2023</v>
      </c>
      <c r="N289" s="344">
        <v>0</v>
      </c>
      <c r="O289" s="345">
        <v>43125</v>
      </c>
      <c r="P289" s="345">
        <v>43125</v>
      </c>
    </row>
    <row r="290" spans="1:16" ht="14.25">
      <c r="A290" s="339">
        <v>2018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4</v>
      </c>
      <c r="M290" s="343">
        <v>2022</v>
      </c>
      <c r="N290" s="344">
        <v>0</v>
      </c>
      <c r="O290" s="345">
        <v>43125</v>
      </c>
      <c r="P290" s="345">
        <v>43125</v>
      </c>
    </row>
    <row r="291" spans="1:16" ht="14.25">
      <c r="A291" s="339">
        <v>2018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0</v>
      </c>
      <c r="M291" s="343">
        <v>2018</v>
      </c>
      <c r="N291" s="344">
        <v>0</v>
      </c>
      <c r="O291" s="345">
        <v>43125</v>
      </c>
      <c r="P291" s="345">
        <v>43125</v>
      </c>
    </row>
    <row r="292" spans="1:16" ht="14.25">
      <c r="A292" s="339">
        <v>2018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2" ref="K292:K300">FALSE</f>
        <v>0</v>
      </c>
      <c r="L292" s="342">
        <v>7</v>
      </c>
      <c r="M292" s="343">
        <v>2025</v>
      </c>
      <c r="N292" s="344">
        <v>0</v>
      </c>
      <c r="O292" s="345">
        <v>43125</v>
      </c>
      <c r="P292" s="345">
        <v>43125</v>
      </c>
    </row>
    <row r="293" spans="1:16" ht="14.25">
      <c r="A293" s="339">
        <v>2018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2"/>
        <v>0</v>
      </c>
      <c r="L293" s="342">
        <v>5</v>
      </c>
      <c r="M293" s="343">
        <v>2023</v>
      </c>
      <c r="N293" s="344">
        <v>0</v>
      </c>
      <c r="O293" s="345">
        <v>43125</v>
      </c>
      <c r="P293" s="345">
        <v>43125</v>
      </c>
    </row>
    <row r="294" spans="1:16" ht="14.25">
      <c r="A294" s="339">
        <v>2018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2"/>
        <v>0</v>
      </c>
      <c r="L294" s="342">
        <v>1</v>
      </c>
      <c r="M294" s="343">
        <v>2019</v>
      </c>
      <c r="N294" s="344">
        <v>0</v>
      </c>
      <c r="O294" s="345">
        <v>43125</v>
      </c>
      <c r="P294" s="345">
        <v>43125</v>
      </c>
    </row>
    <row r="295" spans="1:16" ht="14.25">
      <c r="A295" s="339">
        <v>2018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6</v>
      </c>
      <c r="M295" s="343">
        <v>2024</v>
      </c>
      <c r="N295" s="344">
        <v>0</v>
      </c>
      <c r="O295" s="345">
        <v>43125</v>
      </c>
      <c r="P295" s="345">
        <v>43125</v>
      </c>
    </row>
    <row r="296" spans="1:16" ht="14.25">
      <c r="A296" s="339">
        <v>2018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8</v>
      </c>
      <c r="M296" s="343">
        <v>2026</v>
      </c>
      <c r="N296" s="344">
        <v>0</v>
      </c>
      <c r="O296" s="345">
        <v>43125</v>
      </c>
      <c r="P296" s="345">
        <v>43125</v>
      </c>
    </row>
    <row r="297" spans="1:16" ht="14.25">
      <c r="A297" s="339">
        <v>2018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3</v>
      </c>
      <c r="M297" s="343">
        <v>2021</v>
      </c>
      <c r="N297" s="344">
        <v>0</v>
      </c>
      <c r="O297" s="345">
        <v>43125</v>
      </c>
      <c r="P297" s="345">
        <v>43125</v>
      </c>
    </row>
    <row r="298" spans="1:16" ht="14.25">
      <c r="A298" s="339">
        <v>2018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0</v>
      </c>
      <c r="M298" s="343">
        <v>2018</v>
      </c>
      <c r="N298" s="344">
        <v>1998341.68</v>
      </c>
      <c r="O298" s="345">
        <v>43125</v>
      </c>
      <c r="P298" s="345">
        <v>43125</v>
      </c>
    </row>
    <row r="299" spans="1:16" ht="14.25">
      <c r="A299" s="339">
        <v>2018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2</v>
      </c>
      <c r="M299" s="343">
        <v>2020</v>
      </c>
      <c r="N299" s="344">
        <v>0</v>
      </c>
      <c r="O299" s="345">
        <v>43125</v>
      </c>
      <c r="P299" s="345">
        <v>43125</v>
      </c>
    </row>
    <row r="300" spans="1:16" ht="14.25">
      <c r="A300" s="339">
        <v>2018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4</v>
      </c>
      <c r="M300" s="343">
        <v>2022</v>
      </c>
      <c r="N300" s="344">
        <v>0</v>
      </c>
      <c r="O300" s="345">
        <v>43125</v>
      </c>
      <c r="P300" s="345">
        <v>43125</v>
      </c>
    </row>
    <row r="301" spans="1:16" ht="14.25">
      <c r="A301" s="339">
        <v>2018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3" ref="K301:K309">TRUE</f>
        <v>1</v>
      </c>
      <c r="L301" s="342">
        <v>3</v>
      </c>
      <c r="M301" s="343">
        <v>2021</v>
      </c>
      <c r="N301" s="344">
        <v>0</v>
      </c>
      <c r="O301" s="345">
        <v>43125</v>
      </c>
      <c r="P301" s="345">
        <v>43125</v>
      </c>
    </row>
    <row r="302" spans="1:16" ht="14.25">
      <c r="A302" s="339">
        <v>2018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3"/>
        <v>1</v>
      </c>
      <c r="L302" s="342">
        <v>4</v>
      </c>
      <c r="M302" s="343">
        <v>2022</v>
      </c>
      <c r="N302" s="344">
        <v>0</v>
      </c>
      <c r="O302" s="345">
        <v>43125</v>
      </c>
      <c r="P302" s="345">
        <v>43125</v>
      </c>
    </row>
    <row r="303" spans="1:16" ht="14.25">
      <c r="A303" s="339">
        <v>2018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3"/>
        <v>1</v>
      </c>
      <c r="L303" s="342">
        <v>7</v>
      </c>
      <c r="M303" s="343">
        <v>2025</v>
      </c>
      <c r="N303" s="344">
        <v>0</v>
      </c>
      <c r="O303" s="345">
        <v>43125</v>
      </c>
      <c r="P303" s="345">
        <v>43125</v>
      </c>
    </row>
    <row r="304" spans="1:16" ht="14.25">
      <c r="A304" s="339">
        <v>2018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1</v>
      </c>
      <c r="M304" s="343">
        <v>2019</v>
      </c>
      <c r="N304" s="344">
        <v>0</v>
      </c>
      <c r="O304" s="345">
        <v>43125</v>
      </c>
      <c r="P304" s="345">
        <v>43125</v>
      </c>
    </row>
    <row r="305" spans="1:16" ht="14.25">
      <c r="A305" s="339">
        <v>2018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3"/>
        <v>1</v>
      </c>
      <c r="L305" s="342">
        <v>2</v>
      </c>
      <c r="M305" s="343">
        <v>2020</v>
      </c>
      <c r="N305" s="344">
        <v>0</v>
      </c>
      <c r="O305" s="345">
        <v>43125</v>
      </c>
      <c r="P305" s="345">
        <v>43125</v>
      </c>
    </row>
    <row r="306" spans="1:16" ht="14.25">
      <c r="A306" s="339">
        <v>2018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3"/>
        <v>1</v>
      </c>
      <c r="L306" s="342">
        <v>0</v>
      </c>
      <c r="M306" s="343">
        <v>2018</v>
      </c>
      <c r="N306" s="344">
        <v>0</v>
      </c>
      <c r="O306" s="345">
        <v>43125</v>
      </c>
      <c r="P306" s="345">
        <v>43125</v>
      </c>
    </row>
    <row r="307" spans="1:16" ht="14.25">
      <c r="A307" s="339">
        <v>2018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8</v>
      </c>
      <c r="M307" s="343">
        <v>2026</v>
      </c>
      <c r="N307" s="344">
        <v>0</v>
      </c>
      <c r="O307" s="345">
        <v>43125</v>
      </c>
      <c r="P307" s="345">
        <v>43125</v>
      </c>
    </row>
    <row r="308" spans="1:16" ht="14.25">
      <c r="A308" s="339">
        <v>2018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5</v>
      </c>
      <c r="M308" s="343">
        <v>2023</v>
      </c>
      <c r="N308" s="344">
        <v>0</v>
      </c>
      <c r="O308" s="345">
        <v>43125</v>
      </c>
      <c r="P308" s="345">
        <v>43125</v>
      </c>
    </row>
    <row r="309" spans="1:16" ht="14.25">
      <c r="A309" s="339">
        <v>2018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6</v>
      </c>
      <c r="M309" s="343">
        <v>2024</v>
      </c>
      <c r="N309" s="344">
        <v>0</v>
      </c>
      <c r="O309" s="345">
        <v>43125</v>
      </c>
      <c r="P309" s="345">
        <v>43125</v>
      </c>
    </row>
    <row r="310" spans="1:16" ht="14.25">
      <c r="A310" s="339">
        <v>2018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580</v>
      </c>
      <c r="H310" s="341">
        <v>11.1</v>
      </c>
      <c r="I310" s="341"/>
      <c r="J310" s="341" t="s">
        <v>149</v>
      </c>
      <c r="K310" s="342" t="b">
        <f aca="true" t="shared" si="14" ref="K310:K336">FALSE</f>
        <v>0</v>
      </c>
      <c r="L310" s="342">
        <v>2</v>
      </c>
      <c r="M310" s="343">
        <v>2020</v>
      </c>
      <c r="N310" s="344">
        <v>17500000</v>
      </c>
      <c r="O310" s="345">
        <v>43125</v>
      </c>
      <c r="P310" s="345">
        <v>43125</v>
      </c>
    </row>
    <row r="311" spans="1:16" ht="14.25">
      <c r="A311" s="339">
        <v>2018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t="shared" si="14"/>
        <v>0</v>
      </c>
      <c r="L311" s="342">
        <v>3</v>
      </c>
      <c r="M311" s="343">
        <v>2021</v>
      </c>
      <c r="N311" s="344">
        <v>18000000</v>
      </c>
      <c r="O311" s="345">
        <v>43125</v>
      </c>
      <c r="P311" s="345">
        <v>43125</v>
      </c>
    </row>
    <row r="312" spans="1:16" ht="14.25">
      <c r="A312" s="339">
        <v>2018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4"/>
        <v>0</v>
      </c>
      <c r="L312" s="342">
        <v>1</v>
      </c>
      <c r="M312" s="343">
        <v>2019</v>
      </c>
      <c r="N312" s="344">
        <v>17000000</v>
      </c>
      <c r="O312" s="345">
        <v>43125</v>
      </c>
      <c r="P312" s="345">
        <v>43125</v>
      </c>
    </row>
    <row r="313" spans="1:16" ht="14.25">
      <c r="A313" s="339">
        <v>2018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4"/>
        <v>0</v>
      </c>
      <c r="L313" s="342">
        <v>5</v>
      </c>
      <c r="M313" s="343">
        <v>2023</v>
      </c>
      <c r="N313" s="344">
        <v>0</v>
      </c>
      <c r="O313" s="345">
        <v>43125</v>
      </c>
      <c r="P313" s="345">
        <v>43125</v>
      </c>
    </row>
    <row r="314" spans="1:16" ht="14.25">
      <c r="A314" s="339">
        <v>2018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4"/>
        <v>0</v>
      </c>
      <c r="L314" s="342">
        <v>6</v>
      </c>
      <c r="M314" s="343">
        <v>2024</v>
      </c>
      <c r="N314" s="344">
        <v>0</v>
      </c>
      <c r="O314" s="345">
        <v>43125</v>
      </c>
      <c r="P314" s="345">
        <v>43125</v>
      </c>
    </row>
    <row r="315" spans="1:16" ht="14.25">
      <c r="A315" s="339">
        <v>2018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8</v>
      </c>
      <c r="M315" s="343">
        <v>2026</v>
      </c>
      <c r="N315" s="344">
        <v>0</v>
      </c>
      <c r="O315" s="345">
        <v>43125</v>
      </c>
      <c r="P315" s="345">
        <v>43125</v>
      </c>
    </row>
    <row r="316" spans="1:16" ht="14.25">
      <c r="A316" s="339">
        <v>2018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7</v>
      </c>
      <c r="M316" s="343">
        <v>2025</v>
      </c>
      <c r="N316" s="344">
        <v>0</v>
      </c>
      <c r="O316" s="345">
        <v>43125</v>
      </c>
      <c r="P316" s="345">
        <v>43125</v>
      </c>
    </row>
    <row r="317" spans="1:16" ht="14.25">
      <c r="A317" s="339">
        <v>2018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0</v>
      </c>
      <c r="M317" s="343">
        <v>2018</v>
      </c>
      <c r="N317" s="344">
        <v>16480094</v>
      </c>
      <c r="O317" s="345">
        <v>43125</v>
      </c>
      <c r="P317" s="345">
        <v>43125</v>
      </c>
    </row>
    <row r="318" spans="1:16" ht="14.25">
      <c r="A318" s="339">
        <v>2018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4</v>
      </c>
      <c r="M318" s="343">
        <v>2022</v>
      </c>
      <c r="N318" s="344">
        <v>0</v>
      </c>
      <c r="O318" s="345">
        <v>43125</v>
      </c>
      <c r="P318" s="345">
        <v>43125</v>
      </c>
    </row>
    <row r="319" spans="1:16" ht="14.25">
      <c r="A319" s="339">
        <v>2018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500</v>
      </c>
      <c r="H319" s="341">
        <v>9.4</v>
      </c>
      <c r="I319" s="341" t="s">
        <v>435</v>
      </c>
      <c r="J319" s="341" t="s">
        <v>447</v>
      </c>
      <c r="K319" s="342" t="b">
        <f t="shared" si="14"/>
        <v>0</v>
      </c>
      <c r="L319" s="342">
        <v>2</v>
      </c>
      <c r="M319" s="343">
        <v>2020</v>
      </c>
      <c r="N319" s="344">
        <v>0.0567</v>
      </c>
      <c r="O319" s="345">
        <v>43125</v>
      </c>
      <c r="P319" s="345">
        <v>43125</v>
      </c>
    </row>
    <row r="320" spans="1:16" ht="14.25">
      <c r="A320" s="339">
        <v>2018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4"/>
        <v>0</v>
      </c>
      <c r="L320" s="342">
        <v>5</v>
      </c>
      <c r="M320" s="343">
        <v>2023</v>
      </c>
      <c r="N320" s="344">
        <v>0.0541</v>
      </c>
      <c r="O320" s="345">
        <v>43125</v>
      </c>
      <c r="P320" s="345">
        <v>43125</v>
      </c>
    </row>
    <row r="321" spans="1:16" ht="14.25">
      <c r="A321" s="339">
        <v>2018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4"/>
        <v>0</v>
      </c>
      <c r="L321" s="342">
        <v>8</v>
      </c>
      <c r="M321" s="343">
        <v>2026</v>
      </c>
      <c r="N321" s="344">
        <v>0.0255</v>
      </c>
      <c r="O321" s="345">
        <v>43125</v>
      </c>
      <c r="P321" s="345">
        <v>43125</v>
      </c>
    </row>
    <row r="322" spans="1:16" ht="14.25">
      <c r="A322" s="339">
        <v>2018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4"/>
        <v>0</v>
      </c>
      <c r="L322" s="342">
        <v>0</v>
      </c>
      <c r="M322" s="343">
        <v>2018</v>
      </c>
      <c r="N322" s="344">
        <v>0.0405</v>
      </c>
      <c r="O322" s="345">
        <v>43125</v>
      </c>
      <c r="P322" s="345">
        <v>43125</v>
      </c>
    </row>
    <row r="323" spans="1:16" ht="14.25">
      <c r="A323" s="339">
        <v>2018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1</v>
      </c>
      <c r="M323" s="343">
        <v>2019</v>
      </c>
      <c r="N323" s="344">
        <v>0.0462</v>
      </c>
      <c r="O323" s="345">
        <v>43125</v>
      </c>
      <c r="P323" s="345">
        <v>43125</v>
      </c>
    </row>
    <row r="324" spans="1:16" ht="14.25">
      <c r="A324" s="339">
        <v>2018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7</v>
      </c>
      <c r="M324" s="343">
        <v>2025</v>
      </c>
      <c r="N324" s="344">
        <v>0.0248</v>
      </c>
      <c r="O324" s="345">
        <v>43125</v>
      </c>
      <c r="P324" s="345">
        <v>43125</v>
      </c>
    </row>
    <row r="325" spans="1:16" ht="14.25">
      <c r="A325" s="339">
        <v>2018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4</v>
      </c>
      <c r="M325" s="343">
        <v>2022</v>
      </c>
      <c r="N325" s="344">
        <v>0.0533</v>
      </c>
      <c r="O325" s="345">
        <v>43125</v>
      </c>
      <c r="P325" s="345">
        <v>43125</v>
      </c>
    </row>
    <row r="326" spans="1:16" ht="14.25">
      <c r="A326" s="339">
        <v>2018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6</v>
      </c>
      <c r="M326" s="343">
        <v>2024</v>
      </c>
      <c r="N326" s="344">
        <v>0.0296</v>
      </c>
      <c r="O326" s="345">
        <v>43125</v>
      </c>
      <c r="P326" s="345">
        <v>43125</v>
      </c>
    </row>
    <row r="327" spans="1:16" ht="14.25">
      <c r="A327" s="339">
        <v>2018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3</v>
      </c>
      <c r="M327" s="343">
        <v>2021</v>
      </c>
      <c r="N327" s="344">
        <v>0.0517</v>
      </c>
      <c r="O327" s="345">
        <v>43125</v>
      </c>
      <c r="P327" s="345">
        <v>43125</v>
      </c>
    </row>
    <row r="328" spans="1:16" ht="14.25">
      <c r="A328" s="339">
        <v>2018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508</v>
      </c>
      <c r="H328" s="341">
        <v>9.5</v>
      </c>
      <c r="I328" s="341" t="s">
        <v>436</v>
      </c>
      <c r="J328" s="341" t="s">
        <v>129</v>
      </c>
      <c r="K328" s="342" t="b">
        <f t="shared" si="14"/>
        <v>0</v>
      </c>
      <c r="L328" s="342">
        <v>5</v>
      </c>
      <c r="M328" s="343">
        <v>2023</v>
      </c>
      <c r="N328" s="344">
        <v>0.1448</v>
      </c>
      <c r="O328" s="345">
        <v>43125</v>
      </c>
      <c r="P328" s="345">
        <v>43125</v>
      </c>
    </row>
    <row r="329" spans="1:16" ht="14.25">
      <c r="A329" s="339">
        <v>2018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4"/>
        <v>0</v>
      </c>
      <c r="L329" s="342">
        <v>6</v>
      </c>
      <c r="M329" s="343">
        <v>2024</v>
      </c>
      <c r="N329" s="344">
        <v>0.1597</v>
      </c>
      <c r="O329" s="345">
        <v>43125</v>
      </c>
      <c r="P329" s="345">
        <v>43125</v>
      </c>
    </row>
    <row r="330" spans="1:16" ht="14.25">
      <c r="A330" s="339">
        <v>2018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4"/>
        <v>0</v>
      </c>
      <c r="L330" s="342">
        <v>8</v>
      </c>
      <c r="M330" s="343">
        <v>2026</v>
      </c>
      <c r="N330" s="344">
        <v>0.1871</v>
      </c>
      <c r="O330" s="345">
        <v>43125</v>
      </c>
      <c r="P330" s="345">
        <v>43125</v>
      </c>
    </row>
    <row r="331" spans="1:16" ht="14.25">
      <c r="A331" s="339">
        <v>2018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4"/>
        <v>0</v>
      </c>
      <c r="L331" s="342">
        <v>2</v>
      </c>
      <c r="M331" s="343">
        <v>2020</v>
      </c>
      <c r="N331" s="344">
        <v>0.0932</v>
      </c>
      <c r="O331" s="345">
        <v>43125</v>
      </c>
      <c r="P331" s="345">
        <v>43125</v>
      </c>
    </row>
    <row r="332" spans="1:16" ht="14.25">
      <c r="A332" s="339">
        <v>2018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1</v>
      </c>
      <c r="M332" s="343">
        <v>2019</v>
      </c>
      <c r="N332" s="344">
        <v>0.1623</v>
      </c>
      <c r="O332" s="345">
        <v>43125</v>
      </c>
      <c r="P332" s="345">
        <v>43125</v>
      </c>
    </row>
    <row r="333" spans="1:16" ht="14.25">
      <c r="A333" s="339">
        <v>2018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4</v>
      </c>
      <c r="M333" s="343">
        <v>2022</v>
      </c>
      <c r="N333" s="344">
        <v>0.129</v>
      </c>
      <c r="O333" s="345">
        <v>43125</v>
      </c>
      <c r="P333" s="345">
        <v>43125</v>
      </c>
    </row>
    <row r="334" spans="1:16" ht="14.25">
      <c r="A334" s="339">
        <v>2018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7</v>
      </c>
      <c r="M334" s="343">
        <v>2025</v>
      </c>
      <c r="N334" s="344">
        <v>0.1738</v>
      </c>
      <c r="O334" s="345">
        <v>43125</v>
      </c>
      <c r="P334" s="345">
        <v>43125</v>
      </c>
    </row>
    <row r="335" spans="1:16" ht="14.25">
      <c r="A335" s="339">
        <v>2018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3</v>
      </c>
      <c r="M335" s="343">
        <v>2021</v>
      </c>
      <c r="N335" s="344">
        <v>0.1057</v>
      </c>
      <c r="O335" s="345">
        <v>43125</v>
      </c>
      <c r="P335" s="345">
        <v>43125</v>
      </c>
    </row>
    <row r="336" spans="1:16" ht="14.25">
      <c r="A336" s="339">
        <v>2018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0</v>
      </c>
      <c r="M336" s="343">
        <v>2018</v>
      </c>
      <c r="N336" s="344">
        <v>0.0786</v>
      </c>
      <c r="O336" s="345">
        <v>43125</v>
      </c>
      <c r="P336" s="345">
        <v>43125</v>
      </c>
    </row>
    <row r="337" spans="1:16" ht="14.25">
      <c r="A337" s="339">
        <v>2018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</v>
      </c>
      <c r="H337" s="341" t="s">
        <v>19</v>
      </c>
      <c r="I337" s="341"/>
      <c r="J337" s="341" t="s">
        <v>20</v>
      </c>
      <c r="K337" s="342" t="b">
        <f aca="true" t="shared" si="15" ref="K337:K399">TRUE</f>
        <v>1</v>
      </c>
      <c r="L337" s="342">
        <v>7</v>
      </c>
      <c r="M337" s="343">
        <v>2025</v>
      </c>
      <c r="N337" s="344">
        <v>0</v>
      </c>
      <c r="O337" s="345">
        <v>43125</v>
      </c>
      <c r="P337" s="345">
        <v>43125</v>
      </c>
    </row>
    <row r="338" spans="1:16" ht="14.25">
      <c r="A338" s="339">
        <v>2018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t="shared" si="15"/>
        <v>1</v>
      </c>
      <c r="L338" s="342">
        <v>5</v>
      </c>
      <c r="M338" s="343">
        <v>2023</v>
      </c>
      <c r="N338" s="344">
        <v>0</v>
      </c>
      <c r="O338" s="345">
        <v>43125</v>
      </c>
      <c r="P338" s="345">
        <v>43125</v>
      </c>
    </row>
    <row r="339" spans="1:16" ht="14.25">
      <c r="A339" s="339">
        <v>2018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5"/>
        <v>1</v>
      </c>
      <c r="L339" s="342">
        <v>6</v>
      </c>
      <c r="M339" s="343">
        <v>2024</v>
      </c>
      <c r="N339" s="344">
        <v>0</v>
      </c>
      <c r="O339" s="345">
        <v>43125</v>
      </c>
      <c r="P339" s="345">
        <v>43125</v>
      </c>
    </row>
    <row r="340" spans="1:16" ht="14.25">
      <c r="A340" s="339">
        <v>2018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5"/>
        <v>1</v>
      </c>
      <c r="L340" s="342">
        <v>3</v>
      </c>
      <c r="M340" s="343">
        <v>2021</v>
      </c>
      <c r="N340" s="344">
        <v>8600000</v>
      </c>
      <c r="O340" s="345">
        <v>43125</v>
      </c>
      <c r="P340" s="345">
        <v>43125</v>
      </c>
    </row>
    <row r="341" spans="1:16" ht="14.25">
      <c r="A341" s="339">
        <v>2018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5"/>
        <v>1</v>
      </c>
      <c r="L341" s="342">
        <v>4</v>
      </c>
      <c r="M341" s="343">
        <v>2022</v>
      </c>
      <c r="N341" s="344">
        <v>0</v>
      </c>
      <c r="O341" s="345">
        <v>43125</v>
      </c>
      <c r="P341" s="345">
        <v>43125</v>
      </c>
    </row>
    <row r="342" spans="1:16" ht="14.25">
      <c r="A342" s="339">
        <v>2018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2</v>
      </c>
      <c r="M342" s="343">
        <v>2020</v>
      </c>
      <c r="N342" s="344">
        <v>8400000</v>
      </c>
      <c r="O342" s="345">
        <v>43125</v>
      </c>
      <c r="P342" s="345">
        <v>43125</v>
      </c>
    </row>
    <row r="343" spans="1:16" ht="14.25">
      <c r="A343" s="339">
        <v>2018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8</v>
      </c>
      <c r="M343" s="343">
        <v>2026</v>
      </c>
      <c r="N343" s="344">
        <v>0</v>
      </c>
      <c r="O343" s="345">
        <v>43125</v>
      </c>
      <c r="P343" s="345">
        <v>43125</v>
      </c>
    </row>
    <row r="344" spans="1:16" ht="14.25">
      <c r="A344" s="339">
        <v>2018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1</v>
      </c>
      <c r="M344" s="343">
        <v>2019</v>
      </c>
      <c r="N344" s="344">
        <v>8200000</v>
      </c>
      <c r="O344" s="345">
        <v>43125</v>
      </c>
      <c r="P344" s="345">
        <v>43125</v>
      </c>
    </row>
    <row r="345" spans="1:16" ht="14.25">
      <c r="A345" s="339">
        <v>2018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0</v>
      </c>
      <c r="M345" s="343">
        <v>2018</v>
      </c>
      <c r="N345" s="344">
        <v>8022475</v>
      </c>
      <c r="O345" s="345">
        <v>43125</v>
      </c>
      <c r="P345" s="345">
        <v>43125</v>
      </c>
    </row>
    <row r="346" spans="1:16" ht="14.25">
      <c r="A346" s="339">
        <v>2018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510</v>
      </c>
      <c r="H346" s="341">
        <v>9.6</v>
      </c>
      <c r="I346" s="341"/>
      <c r="J346" s="341" t="s">
        <v>448</v>
      </c>
      <c r="K346" s="342" t="b">
        <f t="shared" si="15"/>
        <v>1</v>
      </c>
      <c r="L346" s="342">
        <v>7</v>
      </c>
      <c r="M346" s="343">
        <v>2025</v>
      </c>
      <c r="N346" s="344">
        <v>0.1445</v>
      </c>
      <c r="O346" s="345">
        <v>43125</v>
      </c>
      <c r="P346" s="345">
        <v>43125</v>
      </c>
    </row>
    <row r="347" spans="1:16" ht="14.25">
      <c r="A347" s="339">
        <v>2018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5"/>
        <v>1</v>
      </c>
      <c r="L347" s="342">
        <v>5</v>
      </c>
      <c r="M347" s="343">
        <v>2023</v>
      </c>
      <c r="N347" s="344">
        <v>0.1093</v>
      </c>
      <c r="O347" s="345">
        <v>43125</v>
      </c>
      <c r="P347" s="345">
        <v>43125</v>
      </c>
    </row>
    <row r="348" spans="1:16" ht="14.25">
      <c r="A348" s="339">
        <v>2018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5"/>
        <v>1</v>
      </c>
      <c r="L348" s="342">
        <v>2</v>
      </c>
      <c r="M348" s="343">
        <v>2020</v>
      </c>
      <c r="N348" s="344">
        <v>0.0925</v>
      </c>
      <c r="O348" s="345">
        <v>43125</v>
      </c>
      <c r="P348" s="345">
        <v>43125</v>
      </c>
    </row>
    <row r="349" spans="1:16" ht="14.25">
      <c r="A349" s="339">
        <v>2018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5"/>
        <v>1</v>
      </c>
      <c r="L349" s="342">
        <v>1</v>
      </c>
      <c r="M349" s="343">
        <v>2019</v>
      </c>
      <c r="N349" s="344">
        <v>0.0641</v>
      </c>
      <c r="O349" s="345">
        <v>43125</v>
      </c>
      <c r="P349" s="345">
        <v>43125</v>
      </c>
    </row>
    <row r="350" spans="1:16" ht="14.25">
      <c r="A350" s="339">
        <v>2018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6</v>
      </c>
      <c r="M350" s="343">
        <v>2024</v>
      </c>
      <c r="N350" s="344">
        <v>0.1265</v>
      </c>
      <c r="O350" s="345">
        <v>43125</v>
      </c>
      <c r="P350" s="345">
        <v>43125</v>
      </c>
    </row>
    <row r="351" spans="1:16" ht="14.25">
      <c r="A351" s="339">
        <v>2018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0</v>
      </c>
      <c r="M351" s="343">
        <v>2018</v>
      </c>
      <c r="N351" s="344">
        <v>0.0619</v>
      </c>
      <c r="O351" s="345">
        <v>43125</v>
      </c>
      <c r="P351" s="345">
        <v>43125</v>
      </c>
    </row>
    <row r="352" spans="1:16" ht="14.25">
      <c r="A352" s="339">
        <v>2018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4</v>
      </c>
      <c r="M352" s="343">
        <v>2022</v>
      </c>
      <c r="N352" s="344">
        <v>0.1204</v>
      </c>
      <c r="O352" s="345">
        <v>43125</v>
      </c>
      <c r="P352" s="345">
        <v>43125</v>
      </c>
    </row>
    <row r="353" spans="1:16" ht="14.25">
      <c r="A353" s="339">
        <v>2018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3</v>
      </c>
      <c r="M353" s="343">
        <v>2021</v>
      </c>
      <c r="N353" s="344">
        <v>0.1114</v>
      </c>
      <c r="O353" s="345">
        <v>43125</v>
      </c>
      <c r="P353" s="345">
        <v>43125</v>
      </c>
    </row>
    <row r="354" spans="1:16" ht="14.25">
      <c r="A354" s="339">
        <v>2018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8</v>
      </c>
      <c r="M354" s="343">
        <v>2026</v>
      </c>
      <c r="N354" s="344">
        <v>0.1594</v>
      </c>
      <c r="O354" s="345">
        <v>43125</v>
      </c>
      <c r="P354" s="345">
        <v>43125</v>
      </c>
    </row>
    <row r="355" spans="1:16" ht="14.25">
      <c r="A355" s="339">
        <v>2018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20</v>
      </c>
      <c r="H355" s="341">
        <v>1.1</v>
      </c>
      <c r="I355" s="341"/>
      <c r="J355" s="341" t="s">
        <v>11</v>
      </c>
      <c r="K355" s="342" t="b">
        <f t="shared" si="15"/>
        <v>1</v>
      </c>
      <c r="L355" s="342">
        <v>4</v>
      </c>
      <c r="M355" s="343">
        <v>2022</v>
      </c>
      <c r="N355" s="344">
        <v>49600000</v>
      </c>
      <c r="O355" s="345">
        <v>43125</v>
      </c>
      <c r="P355" s="345">
        <v>43125</v>
      </c>
    </row>
    <row r="356" spans="1:16" ht="14.25">
      <c r="A356" s="339">
        <v>2018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5"/>
        <v>1</v>
      </c>
      <c r="L356" s="342">
        <v>1</v>
      </c>
      <c r="M356" s="343">
        <v>2019</v>
      </c>
      <c r="N356" s="344">
        <v>45100000</v>
      </c>
      <c r="O356" s="345">
        <v>43125</v>
      </c>
      <c r="P356" s="345">
        <v>43125</v>
      </c>
    </row>
    <row r="357" spans="1:16" ht="14.25">
      <c r="A357" s="339">
        <v>2018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5"/>
        <v>1</v>
      </c>
      <c r="L357" s="342">
        <v>8</v>
      </c>
      <c r="M357" s="343">
        <v>2026</v>
      </c>
      <c r="N357" s="344">
        <v>55600000</v>
      </c>
      <c r="O357" s="345">
        <v>43125</v>
      </c>
      <c r="P357" s="345">
        <v>43125</v>
      </c>
    </row>
    <row r="358" spans="1:16" ht="14.25">
      <c r="A358" s="339">
        <v>2018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5"/>
        <v>1</v>
      </c>
      <c r="L358" s="342">
        <v>3</v>
      </c>
      <c r="M358" s="343">
        <v>2021</v>
      </c>
      <c r="N358" s="344">
        <v>48100000</v>
      </c>
      <c r="O358" s="345">
        <v>43125</v>
      </c>
      <c r="P358" s="345">
        <v>43125</v>
      </c>
    </row>
    <row r="359" spans="1:16" ht="14.25">
      <c r="A359" s="339">
        <v>2018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0</v>
      </c>
      <c r="M359" s="343">
        <v>2018</v>
      </c>
      <c r="N359" s="344">
        <v>43631493.67</v>
      </c>
      <c r="O359" s="345">
        <v>43125</v>
      </c>
      <c r="P359" s="345">
        <v>43125</v>
      </c>
    </row>
    <row r="360" spans="1:16" ht="14.25">
      <c r="A360" s="339">
        <v>2018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6</v>
      </c>
      <c r="M360" s="343">
        <v>2024</v>
      </c>
      <c r="N360" s="344">
        <v>52600000</v>
      </c>
      <c r="O360" s="345">
        <v>43125</v>
      </c>
      <c r="P360" s="345">
        <v>43125</v>
      </c>
    </row>
    <row r="361" spans="1:16" ht="14.25">
      <c r="A361" s="339">
        <v>2018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7</v>
      </c>
      <c r="M361" s="343">
        <v>2025</v>
      </c>
      <c r="N361" s="344">
        <v>54100000</v>
      </c>
      <c r="O361" s="345">
        <v>43125</v>
      </c>
      <c r="P361" s="345">
        <v>43125</v>
      </c>
    </row>
    <row r="362" spans="1:16" ht="14.25">
      <c r="A362" s="339">
        <v>2018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2</v>
      </c>
      <c r="M362" s="343">
        <v>2020</v>
      </c>
      <c r="N362" s="344">
        <v>46600000</v>
      </c>
      <c r="O362" s="345">
        <v>43125</v>
      </c>
      <c r="P362" s="345">
        <v>43125</v>
      </c>
    </row>
    <row r="363" spans="1:16" ht="14.25">
      <c r="A363" s="339">
        <v>2018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5</v>
      </c>
      <c r="M363" s="343">
        <v>2023</v>
      </c>
      <c r="N363" s="344">
        <v>51100000</v>
      </c>
      <c r="O363" s="345">
        <v>43125</v>
      </c>
      <c r="P363" s="345">
        <v>43125</v>
      </c>
    </row>
    <row r="364" spans="1:16" ht="14.25">
      <c r="A364" s="339">
        <v>2018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620</v>
      </c>
      <c r="H364" s="341" t="s">
        <v>160</v>
      </c>
      <c r="I364" s="341"/>
      <c r="J364" s="341" t="s">
        <v>451</v>
      </c>
      <c r="K364" s="342" t="b">
        <f t="shared" si="15"/>
        <v>1</v>
      </c>
      <c r="L364" s="342">
        <v>5</v>
      </c>
      <c r="M364" s="343">
        <v>2023</v>
      </c>
      <c r="N364" s="344">
        <v>0</v>
      </c>
      <c r="O364" s="345">
        <v>43125</v>
      </c>
      <c r="P364" s="345">
        <v>43125</v>
      </c>
    </row>
    <row r="365" spans="1:16" ht="14.25">
      <c r="A365" s="339">
        <v>2018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5"/>
        <v>1</v>
      </c>
      <c r="L365" s="342">
        <v>0</v>
      </c>
      <c r="M365" s="343">
        <v>2018</v>
      </c>
      <c r="N365" s="344">
        <v>25000</v>
      </c>
      <c r="O365" s="345">
        <v>43125</v>
      </c>
      <c r="P365" s="345">
        <v>43125</v>
      </c>
    </row>
    <row r="366" spans="1:16" ht="14.25">
      <c r="A366" s="339">
        <v>2018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5"/>
        <v>1</v>
      </c>
      <c r="L366" s="342">
        <v>4</v>
      </c>
      <c r="M366" s="343">
        <v>2022</v>
      </c>
      <c r="N366" s="344">
        <v>0</v>
      </c>
      <c r="O366" s="345">
        <v>43125</v>
      </c>
      <c r="P366" s="345">
        <v>43125</v>
      </c>
    </row>
    <row r="367" spans="1:16" ht="14.25">
      <c r="A367" s="339">
        <v>2018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5"/>
        <v>1</v>
      </c>
      <c r="L367" s="342">
        <v>1</v>
      </c>
      <c r="M367" s="343">
        <v>2019</v>
      </c>
      <c r="N367" s="344">
        <v>3670473.46</v>
      </c>
      <c r="O367" s="345">
        <v>43125</v>
      </c>
      <c r="P367" s="345">
        <v>43125</v>
      </c>
    </row>
    <row r="368" spans="1:16" ht="14.25">
      <c r="A368" s="339">
        <v>2018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6</v>
      </c>
      <c r="M368" s="343">
        <v>2024</v>
      </c>
      <c r="N368" s="344">
        <v>0</v>
      </c>
      <c r="O368" s="345">
        <v>43125</v>
      </c>
      <c r="P368" s="345">
        <v>43125</v>
      </c>
    </row>
    <row r="369" spans="1:16" ht="14.25">
      <c r="A369" s="339">
        <v>2018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3</v>
      </c>
      <c r="M369" s="343">
        <v>2021</v>
      </c>
      <c r="N369" s="344">
        <v>5872632.01</v>
      </c>
      <c r="O369" s="345">
        <v>43125</v>
      </c>
      <c r="P369" s="345">
        <v>43125</v>
      </c>
    </row>
    <row r="370" spans="1:16" ht="14.25">
      <c r="A370" s="339">
        <v>2018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2</v>
      </c>
      <c r="M370" s="343">
        <v>2020</v>
      </c>
      <c r="N370" s="344">
        <v>1122446.05</v>
      </c>
      <c r="O370" s="345">
        <v>43125</v>
      </c>
      <c r="P370" s="345">
        <v>43125</v>
      </c>
    </row>
    <row r="371" spans="1:16" ht="14.25">
      <c r="A371" s="339">
        <v>2018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7</v>
      </c>
      <c r="M371" s="343">
        <v>2025</v>
      </c>
      <c r="N371" s="344">
        <v>0</v>
      </c>
      <c r="O371" s="345">
        <v>43125</v>
      </c>
      <c r="P371" s="345">
        <v>43125</v>
      </c>
    </row>
    <row r="372" spans="1:16" ht="14.25">
      <c r="A372" s="339">
        <v>2018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8</v>
      </c>
      <c r="M372" s="343">
        <v>2026</v>
      </c>
      <c r="N372" s="344">
        <v>0</v>
      </c>
      <c r="O372" s="345">
        <v>43125</v>
      </c>
      <c r="P372" s="345">
        <v>43125</v>
      </c>
    </row>
    <row r="373" spans="1:16" ht="14.25">
      <c r="A373" s="339">
        <v>2018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0</v>
      </c>
      <c r="M373" s="343">
        <v>2018</v>
      </c>
      <c r="N373" s="344">
        <v>0</v>
      </c>
      <c r="O373" s="345">
        <v>43125</v>
      </c>
      <c r="P373" s="345">
        <v>43125</v>
      </c>
    </row>
    <row r="374" spans="1:16" ht="14.25">
      <c r="A374" s="339">
        <v>2018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8</v>
      </c>
      <c r="M374" s="343">
        <v>2026</v>
      </c>
      <c r="N374" s="344">
        <v>0</v>
      </c>
      <c r="O374" s="345">
        <v>43125</v>
      </c>
      <c r="P374" s="345">
        <v>43125</v>
      </c>
    </row>
    <row r="375" spans="1:16" ht="14.25">
      <c r="A375" s="339">
        <v>2018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2023</v>
      </c>
      <c r="N375" s="344">
        <v>0</v>
      </c>
      <c r="O375" s="345">
        <v>43125</v>
      </c>
      <c r="P375" s="345">
        <v>43125</v>
      </c>
    </row>
    <row r="376" spans="1:16" ht="14.25">
      <c r="A376" s="339">
        <v>2018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2</v>
      </c>
      <c r="M376" s="343">
        <v>2020</v>
      </c>
      <c r="N376" s="344">
        <v>0</v>
      </c>
      <c r="O376" s="345">
        <v>43125</v>
      </c>
      <c r="P376" s="345">
        <v>43125</v>
      </c>
    </row>
    <row r="377" spans="1:16" ht="14.25">
      <c r="A377" s="339">
        <v>2018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3</v>
      </c>
      <c r="M377" s="343">
        <v>2021</v>
      </c>
      <c r="N377" s="344">
        <v>0</v>
      </c>
      <c r="O377" s="345">
        <v>43125</v>
      </c>
      <c r="P377" s="345">
        <v>43125</v>
      </c>
    </row>
    <row r="378" spans="1:16" ht="14.25">
      <c r="A378" s="339">
        <v>2018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6</v>
      </c>
      <c r="M378" s="343">
        <v>2024</v>
      </c>
      <c r="N378" s="344">
        <v>0</v>
      </c>
      <c r="O378" s="345">
        <v>43125</v>
      </c>
      <c r="P378" s="345">
        <v>43125</v>
      </c>
    </row>
    <row r="379" spans="1:16" ht="14.25">
      <c r="A379" s="339">
        <v>2018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1</v>
      </c>
      <c r="M379" s="343">
        <v>2019</v>
      </c>
      <c r="N379" s="344">
        <v>0</v>
      </c>
      <c r="O379" s="345">
        <v>43125</v>
      </c>
      <c r="P379" s="345">
        <v>43125</v>
      </c>
    </row>
    <row r="380" spans="1:16" ht="14.25">
      <c r="A380" s="339">
        <v>2018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7</v>
      </c>
      <c r="M380" s="343">
        <v>2025</v>
      </c>
      <c r="N380" s="344">
        <v>0</v>
      </c>
      <c r="O380" s="345">
        <v>43125</v>
      </c>
      <c r="P380" s="345">
        <v>43125</v>
      </c>
    </row>
    <row r="381" spans="1:16" ht="14.25">
      <c r="A381" s="339">
        <v>2018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4</v>
      </c>
      <c r="M381" s="343">
        <v>2022</v>
      </c>
      <c r="N381" s="344">
        <v>0</v>
      </c>
      <c r="O381" s="345">
        <v>43125</v>
      </c>
      <c r="P381" s="345">
        <v>43125</v>
      </c>
    </row>
    <row r="382" spans="1:16" ht="14.25">
      <c r="A382" s="339">
        <v>2018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0</v>
      </c>
      <c r="M382" s="343">
        <v>2018</v>
      </c>
      <c r="N382" s="344">
        <v>0.0405</v>
      </c>
      <c r="O382" s="345">
        <v>43125</v>
      </c>
      <c r="P382" s="345">
        <v>43125</v>
      </c>
    </row>
    <row r="383" spans="1:16" ht="14.25">
      <c r="A383" s="339">
        <v>2018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5</v>
      </c>
      <c r="M383" s="343">
        <v>2023</v>
      </c>
      <c r="N383" s="344">
        <v>0.0541</v>
      </c>
      <c r="O383" s="345">
        <v>43125</v>
      </c>
      <c r="P383" s="345">
        <v>43125</v>
      </c>
    </row>
    <row r="384" spans="1:16" ht="14.25">
      <c r="A384" s="339">
        <v>2018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8</v>
      </c>
      <c r="M384" s="343">
        <v>2026</v>
      </c>
      <c r="N384" s="344">
        <v>0.0255</v>
      </c>
      <c r="O384" s="345">
        <v>43125</v>
      </c>
      <c r="P384" s="345">
        <v>43125</v>
      </c>
    </row>
    <row r="385" spans="1:16" ht="14.25">
      <c r="A385" s="339">
        <v>2018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1</v>
      </c>
      <c r="M385" s="343">
        <v>2019</v>
      </c>
      <c r="N385" s="344">
        <v>0.0462</v>
      </c>
      <c r="O385" s="345">
        <v>43125</v>
      </c>
      <c r="P385" s="345">
        <v>43125</v>
      </c>
    </row>
    <row r="386" spans="1:16" ht="14.25">
      <c r="A386" s="339">
        <v>2018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3</v>
      </c>
      <c r="M386" s="343">
        <v>2021</v>
      </c>
      <c r="N386" s="344">
        <v>0.0517</v>
      </c>
      <c r="O386" s="345">
        <v>43125</v>
      </c>
      <c r="P386" s="345">
        <v>43125</v>
      </c>
    </row>
    <row r="387" spans="1:16" ht="14.25">
      <c r="A387" s="339">
        <v>2018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6</v>
      </c>
      <c r="M387" s="343">
        <v>2024</v>
      </c>
      <c r="N387" s="344">
        <v>0.0296</v>
      </c>
      <c r="O387" s="345">
        <v>43125</v>
      </c>
      <c r="P387" s="345">
        <v>43125</v>
      </c>
    </row>
    <row r="388" spans="1:16" ht="14.25">
      <c r="A388" s="339">
        <v>2018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4</v>
      </c>
      <c r="M388" s="343">
        <v>2022</v>
      </c>
      <c r="N388" s="344">
        <v>0.0533</v>
      </c>
      <c r="O388" s="345">
        <v>43125</v>
      </c>
      <c r="P388" s="345">
        <v>43125</v>
      </c>
    </row>
    <row r="389" spans="1:16" ht="14.25">
      <c r="A389" s="339">
        <v>2018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7</v>
      </c>
      <c r="M389" s="343">
        <v>2025</v>
      </c>
      <c r="N389" s="344">
        <v>0.0248</v>
      </c>
      <c r="O389" s="345">
        <v>43125</v>
      </c>
      <c r="P389" s="345">
        <v>43125</v>
      </c>
    </row>
    <row r="390" spans="1:16" ht="14.25">
      <c r="A390" s="339">
        <v>2018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2</v>
      </c>
      <c r="M390" s="343">
        <v>2020</v>
      </c>
      <c r="N390" s="344">
        <v>0.0567</v>
      </c>
      <c r="O390" s="345">
        <v>43125</v>
      </c>
      <c r="P390" s="345">
        <v>43125</v>
      </c>
    </row>
    <row r="391" spans="1:16" ht="14.25">
      <c r="A391" s="339">
        <v>2018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3</v>
      </c>
      <c r="M391" s="343">
        <v>2021</v>
      </c>
      <c r="N391" s="344">
        <v>0</v>
      </c>
      <c r="O391" s="345">
        <v>43125</v>
      </c>
      <c r="P391" s="345">
        <v>43125</v>
      </c>
    </row>
    <row r="392" spans="1:16" ht="14.25">
      <c r="A392" s="339">
        <v>2018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1</v>
      </c>
      <c r="M392" s="343">
        <v>2019</v>
      </c>
      <c r="N392" s="344">
        <v>0</v>
      </c>
      <c r="O392" s="345">
        <v>43125</v>
      </c>
      <c r="P392" s="345">
        <v>43125</v>
      </c>
    </row>
    <row r="393" spans="1:16" ht="14.25">
      <c r="A393" s="339">
        <v>2018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4</v>
      </c>
      <c r="M393" s="343">
        <v>2022</v>
      </c>
      <c r="N393" s="344">
        <v>0</v>
      </c>
      <c r="O393" s="345">
        <v>43125</v>
      </c>
      <c r="P393" s="345">
        <v>43125</v>
      </c>
    </row>
    <row r="394" spans="1:16" ht="14.25">
      <c r="A394" s="339">
        <v>2018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7</v>
      </c>
      <c r="M394" s="343">
        <v>2025</v>
      </c>
      <c r="N394" s="344">
        <v>0</v>
      </c>
      <c r="O394" s="345">
        <v>43125</v>
      </c>
      <c r="P394" s="345">
        <v>43125</v>
      </c>
    </row>
    <row r="395" spans="1:16" ht="14.25">
      <c r="A395" s="339">
        <v>2018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8</v>
      </c>
      <c r="M395" s="343">
        <v>2026</v>
      </c>
      <c r="N395" s="344">
        <v>0</v>
      </c>
      <c r="O395" s="345">
        <v>43125</v>
      </c>
      <c r="P395" s="345">
        <v>43125</v>
      </c>
    </row>
    <row r="396" spans="1:16" ht="14.25">
      <c r="A396" s="339">
        <v>2018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6</v>
      </c>
      <c r="M396" s="343">
        <v>2024</v>
      </c>
      <c r="N396" s="344">
        <v>0</v>
      </c>
      <c r="O396" s="345">
        <v>43125</v>
      </c>
      <c r="P396" s="345">
        <v>43125</v>
      </c>
    </row>
    <row r="397" spans="1:16" ht="14.25">
      <c r="A397" s="339">
        <v>2018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5</v>
      </c>
      <c r="M397" s="343">
        <v>2023</v>
      </c>
      <c r="N397" s="344">
        <v>0</v>
      </c>
      <c r="O397" s="345">
        <v>43125</v>
      </c>
      <c r="P397" s="345">
        <v>43125</v>
      </c>
    </row>
    <row r="398" spans="1:16" ht="14.25">
      <c r="A398" s="339">
        <v>2018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2</v>
      </c>
      <c r="M398" s="343">
        <v>2020</v>
      </c>
      <c r="N398" s="344">
        <v>0</v>
      </c>
      <c r="O398" s="345">
        <v>43125</v>
      </c>
      <c r="P398" s="345">
        <v>43125</v>
      </c>
    </row>
    <row r="399" spans="1:16" ht="14.25">
      <c r="A399" s="339">
        <v>2018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0</v>
      </c>
      <c r="M399" s="343">
        <v>2018</v>
      </c>
      <c r="N399" s="344">
        <v>0</v>
      </c>
      <c r="O399" s="345">
        <v>43125</v>
      </c>
      <c r="P399" s="345">
        <v>43125</v>
      </c>
    </row>
    <row r="400" spans="1:16" ht="14.25">
      <c r="A400" s="339">
        <v>2018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1</v>
      </c>
      <c r="M400" s="343">
        <v>2019</v>
      </c>
      <c r="N400" s="344">
        <v>1860004</v>
      </c>
      <c r="O400" s="345">
        <v>43125</v>
      </c>
      <c r="P400" s="345">
        <v>43125</v>
      </c>
    </row>
    <row r="401" spans="1:16" ht="14.25">
      <c r="A401" s="339">
        <v>2018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0</v>
      </c>
      <c r="M401" s="343">
        <v>2018</v>
      </c>
      <c r="N401" s="344">
        <v>1678204</v>
      </c>
      <c r="O401" s="345">
        <v>43125</v>
      </c>
      <c r="P401" s="345">
        <v>43125</v>
      </c>
    </row>
    <row r="402" spans="1:16" ht="14.25">
      <c r="A402" s="339">
        <v>2018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6</v>
      </c>
      <c r="M402" s="343">
        <v>2024</v>
      </c>
      <c r="N402" s="344">
        <v>1250000</v>
      </c>
      <c r="O402" s="345">
        <v>43125</v>
      </c>
      <c r="P402" s="345">
        <v>43125</v>
      </c>
    </row>
    <row r="403" spans="1:16" ht="14.25">
      <c r="A403" s="339">
        <v>2018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3</v>
      </c>
      <c r="M403" s="343">
        <v>2021</v>
      </c>
      <c r="N403" s="344">
        <v>2210004</v>
      </c>
      <c r="O403" s="345">
        <v>43125</v>
      </c>
      <c r="P403" s="345">
        <v>43125</v>
      </c>
    </row>
    <row r="404" spans="1:16" ht="14.25">
      <c r="A404" s="339">
        <v>2018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2</v>
      </c>
      <c r="M404" s="343">
        <v>2020</v>
      </c>
      <c r="N404" s="344">
        <v>2210004</v>
      </c>
      <c r="O404" s="345">
        <v>43125</v>
      </c>
      <c r="P404" s="345">
        <v>43125</v>
      </c>
    </row>
    <row r="405" spans="1:16" ht="14.25">
      <c r="A405" s="339">
        <v>2018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5</v>
      </c>
      <c r="M405" s="343">
        <v>2023</v>
      </c>
      <c r="N405" s="344">
        <v>2418000</v>
      </c>
      <c r="O405" s="345">
        <v>43125</v>
      </c>
      <c r="P405" s="345">
        <v>43125</v>
      </c>
    </row>
    <row r="406" spans="1:16" ht="14.25">
      <c r="A406" s="339">
        <v>2018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8</v>
      </c>
      <c r="M406" s="343">
        <v>2026</v>
      </c>
      <c r="N406" s="344">
        <v>1198341.68</v>
      </c>
      <c r="O406" s="345">
        <v>43125</v>
      </c>
      <c r="P406" s="345">
        <v>43125</v>
      </c>
    </row>
    <row r="407" spans="1:16" ht="14.25">
      <c r="A407" s="339">
        <v>2018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4</v>
      </c>
      <c r="M407" s="343">
        <v>2022</v>
      </c>
      <c r="N407" s="344">
        <v>2250004</v>
      </c>
      <c r="O407" s="345">
        <v>43125</v>
      </c>
      <c r="P407" s="345">
        <v>43125</v>
      </c>
    </row>
    <row r="408" spans="1:16" ht="14.25">
      <c r="A408" s="339">
        <v>2018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7</v>
      </c>
      <c r="M408" s="343">
        <v>2025</v>
      </c>
      <c r="N408" s="344">
        <v>1085316.79</v>
      </c>
      <c r="O408" s="345">
        <v>43125</v>
      </c>
      <c r="P408" s="345">
        <v>43125</v>
      </c>
    </row>
    <row r="409" spans="1:16" ht="14.25">
      <c r="A409" s="339">
        <v>2018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6">TRUE</f>
        <v>1</v>
      </c>
      <c r="L409" s="342">
        <v>8</v>
      </c>
      <c r="M409" s="343">
        <v>2026</v>
      </c>
      <c r="N409" s="344">
        <v>0</v>
      </c>
      <c r="O409" s="345">
        <v>43125</v>
      </c>
      <c r="P409" s="345">
        <v>43125</v>
      </c>
    </row>
    <row r="410" spans="1:16" ht="14.25">
      <c r="A410" s="339">
        <v>2018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4</v>
      </c>
      <c r="M410" s="343">
        <v>2022</v>
      </c>
      <c r="N410" s="344">
        <v>0</v>
      </c>
      <c r="O410" s="345">
        <v>43125</v>
      </c>
      <c r="P410" s="345">
        <v>43125</v>
      </c>
    </row>
    <row r="411" spans="1:16" ht="14.25">
      <c r="A411" s="339">
        <v>2018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6</v>
      </c>
      <c r="M411" s="343">
        <v>2024</v>
      </c>
      <c r="N411" s="344">
        <v>0</v>
      </c>
      <c r="O411" s="345">
        <v>43125</v>
      </c>
      <c r="P411" s="345">
        <v>43125</v>
      </c>
    </row>
    <row r="412" spans="1:16" ht="14.25">
      <c r="A412" s="339">
        <v>2018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7"/>
        <v>1</v>
      </c>
      <c r="L412" s="342">
        <v>7</v>
      </c>
      <c r="M412" s="343">
        <v>2025</v>
      </c>
      <c r="N412" s="344">
        <v>0</v>
      </c>
      <c r="O412" s="345">
        <v>43125</v>
      </c>
      <c r="P412" s="345">
        <v>43125</v>
      </c>
    </row>
    <row r="413" spans="1:16" ht="14.25">
      <c r="A413" s="339">
        <v>2018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7"/>
        <v>1</v>
      </c>
      <c r="L413" s="342">
        <v>2</v>
      </c>
      <c r="M413" s="343">
        <v>2020</v>
      </c>
      <c r="N413" s="344">
        <v>0</v>
      </c>
      <c r="O413" s="345">
        <v>43125</v>
      </c>
      <c r="P413" s="345">
        <v>43125</v>
      </c>
    </row>
    <row r="414" spans="1:16" ht="14.25">
      <c r="A414" s="339">
        <v>2018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0</v>
      </c>
      <c r="M414" s="343">
        <v>2018</v>
      </c>
      <c r="N414" s="344">
        <v>0</v>
      </c>
      <c r="O414" s="345">
        <v>43125</v>
      </c>
      <c r="P414" s="345">
        <v>43125</v>
      </c>
    </row>
    <row r="415" spans="1:16" ht="14.25">
      <c r="A415" s="339">
        <v>2018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1</v>
      </c>
      <c r="M415" s="343">
        <v>2019</v>
      </c>
      <c r="N415" s="344">
        <v>0</v>
      </c>
      <c r="O415" s="345">
        <v>43125</v>
      </c>
      <c r="P415" s="345">
        <v>43125</v>
      </c>
    </row>
    <row r="416" spans="1:16" ht="14.25">
      <c r="A416" s="339">
        <v>2018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3</v>
      </c>
      <c r="M416" s="343">
        <v>2021</v>
      </c>
      <c r="N416" s="344">
        <v>0</v>
      </c>
      <c r="O416" s="345">
        <v>43125</v>
      </c>
      <c r="P416" s="345">
        <v>43125</v>
      </c>
    </row>
    <row r="417" spans="1:16" ht="14.25">
      <c r="A417" s="339">
        <v>2018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5</v>
      </c>
      <c r="M417" s="343">
        <v>2023</v>
      </c>
      <c r="N417" s="344">
        <v>0</v>
      </c>
      <c r="O417" s="345">
        <v>43125</v>
      </c>
      <c r="P417" s="345">
        <v>43125</v>
      </c>
    </row>
    <row r="418" spans="1:16" ht="14.25">
      <c r="A418" s="339">
        <v>2018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7"/>
        <v>1</v>
      </c>
      <c r="L418" s="342">
        <v>6</v>
      </c>
      <c r="M418" s="343">
        <v>2024</v>
      </c>
      <c r="N418" s="344">
        <v>0</v>
      </c>
      <c r="O418" s="345">
        <v>43125</v>
      </c>
      <c r="P418" s="345">
        <v>43125</v>
      </c>
    </row>
    <row r="419" spans="1:16" ht="14.25">
      <c r="A419" s="339">
        <v>2018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7"/>
        <v>1</v>
      </c>
      <c r="L419" s="342">
        <v>5</v>
      </c>
      <c r="M419" s="343">
        <v>2023</v>
      </c>
      <c r="N419" s="344">
        <v>0</v>
      </c>
      <c r="O419" s="345">
        <v>43125</v>
      </c>
      <c r="P419" s="345">
        <v>43125</v>
      </c>
    </row>
    <row r="420" spans="1:16" ht="14.25">
      <c r="A420" s="339">
        <v>2018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0</v>
      </c>
      <c r="M420" s="343">
        <v>2018</v>
      </c>
      <c r="N420" s="344">
        <v>0</v>
      </c>
      <c r="O420" s="345">
        <v>43125</v>
      </c>
      <c r="P420" s="345">
        <v>43125</v>
      </c>
    </row>
    <row r="421" spans="1:16" ht="14.25">
      <c r="A421" s="339">
        <v>2018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2</v>
      </c>
      <c r="M421" s="343">
        <v>2020</v>
      </c>
      <c r="N421" s="344">
        <v>0</v>
      </c>
      <c r="O421" s="345">
        <v>43125</v>
      </c>
      <c r="P421" s="345">
        <v>43125</v>
      </c>
    </row>
    <row r="422" spans="1:16" ht="14.25">
      <c r="A422" s="339">
        <v>2018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4</v>
      </c>
      <c r="M422" s="343">
        <v>2022</v>
      </c>
      <c r="N422" s="344">
        <v>0</v>
      </c>
      <c r="O422" s="345">
        <v>43125</v>
      </c>
      <c r="P422" s="345">
        <v>43125</v>
      </c>
    </row>
    <row r="423" spans="1:16" ht="14.25">
      <c r="A423" s="339">
        <v>2018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8</v>
      </c>
      <c r="M423" s="343">
        <v>2026</v>
      </c>
      <c r="N423" s="344">
        <v>0</v>
      </c>
      <c r="O423" s="345">
        <v>43125</v>
      </c>
      <c r="P423" s="345">
        <v>43125</v>
      </c>
    </row>
    <row r="424" spans="1:16" ht="14.25">
      <c r="A424" s="339">
        <v>2018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1</v>
      </c>
      <c r="M424" s="343">
        <v>2019</v>
      </c>
      <c r="N424" s="344">
        <v>0</v>
      </c>
      <c r="O424" s="345">
        <v>43125</v>
      </c>
      <c r="P424" s="345">
        <v>43125</v>
      </c>
    </row>
    <row r="425" spans="1:16" ht="14.25">
      <c r="A425" s="339">
        <v>2018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3</v>
      </c>
      <c r="M425" s="343">
        <v>2021</v>
      </c>
      <c r="N425" s="344">
        <v>0</v>
      </c>
      <c r="O425" s="345">
        <v>43125</v>
      </c>
      <c r="P425" s="345">
        <v>43125</v>
      </c>
    </row>
    <row r="426" spans="1:16" ht="14.25">
      <c r="A426" s="339">
        <v>2018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7</v>
      </c>
      <c r="M426" s="343">
        <v>2025</v>
      </c>
      <c r="N426" s="344">
        <v>0</v>
      </c>
      <c r="O426" s="345">
        <v>43125</v>
      </c>
      <c r="P426" s="345">
        <v>43125</v>
      </c>
    </row>
    <row r="427" spans="1:16" ht="14.25">
      <c r="A427" s="339">
        <v>2018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18" ref="K427:K428">FALSE</f>
        <v>0</v>
      </c>
      <c r="L427" s="342">
        <v>7</v>
      </c>
      <c r="M427" s="343">
        <v>2025</v>
      </c>
      <c r="N427" s="344">
        <v>9400000</v>
      </c>
      <c r="O427" s="345">
        <v>43125</v>
      </c>
      <c r="P427" s="345">
        <v>43125</v>
      </c>
    </row>
    <row r="428" spans="1:16" ht="14.25">
      <c r="A428" s="339">
        <v>2018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18"/>
        <v>0</v>
      </c>
      <c r="L428" s="342">
        <v>6</v>
      </c>
      <c r="M428" s="343">
        <v>2024</v>
      </c>
      <c r="N428" s="344">
        <v>8400000</v>
      </c>
      <c r="O428" s="345">
        <v>43125</v>
      </c>
      <c r="P428" s="345">
        <v>43125</v>
      </c>
    </row>
    <row r="429" spans="1:16" ht="14.25">
      <c r="A429" s="339">
        <v>2018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260</v>
      </c>
      <c r="H429" s="341">
        <v>4.3</v>
      </c>
      <c r="I429" s="341"/>
      <c r="J429" s="341" t="s">
        <v>82</v>
      </c>
      <c r="K429" s="342" t="b">
        <f>TRUE</f>
        <v>1</v>
      </c>
      <c r="L429" s="342">
        <v>6</v>
      </c>
      <c r="M429" s="343">
        <v>2024</v>
      </c>
      <c r="N429" s="344">
        <v>0</v>
      </c>
      <c r="O429" s="345">
        <v>43125</v>
      </c>
      <c r="P429" s="345">
        <v>43125</v>
      </c>
    </row>
    <row r="430" spans="1:16" ht="14.25">
      <c r="A430" s="339">
        <v>2018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aca="true" t="shared" si="19" ref="K430:K436">FALSE</f>
        <v>0</v>
      </c>
      <c r="L430" s="342">
        <v>8</v>
      </c>
      <c r="M430" s="343">
        <v>2026</v>
      </c>
      <c r="N430" s="344">
        <v>10400000</v>
      </c>
      <c r="O430" s="345">
        <v>43125</v>
      </c>
      <c r="P430" s="345">
        <v>43125</v>
      </c>
    </row>
    <row r="431" spans="1:16" ht="14.25">
      <c r="A431" s="339">
        <v>2018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9"/>
        <v>0</v>
      </c>
      <c r="L431" s="342">
        <v>4</v>
      </c>
      <c r="M431" s="343">
        <v>2022</v>
      </c>
      <c r="N431" s="344">
        <v>6400000</v>
      </c>
      <c r="O431" s="345">
        <v>43125</v>
      </c>
      <c r="P431" s="345">
        <v>43125</v>
      </c>
    </row>
    <row r="432" spans="1:16" ht="14.25">
      <c r="A432" s="339">
        <v>2018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9"/>
        <v>0</v>
      </c>
      <c r="L432" s="342">
        <v>0</v>
      </c>
      <c r="M432" s="343">
        <v>2018</v>
      </c>
      <c r="N432" s="344">
        <v>2668244.5</v>
      </c>
      <c r="O432" s="345">
        <v>43125</v>
      </c>
      <c r="P432" s="345">
        <v>43125</v>
      </c>
    </row>
    <row r="433" spans="1:16" ht="14.25">
      <c r="A433" s="339">
        <v>2018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9"/>
        <v>0</v>
      </c>
      <c r="L433" s="342">
        <v>3</v>
      </c>
      <c r="M433" s="343">
        <v>2021</v>
      </c>
      <c r="N433" s="344">
        <v>5400000</v>
      </c>
      <c r="O433" s="345">
        <v>43125</v>
      </c>
      <c r="P433" s="345">
        <v>43125</v>
      </c>
    </row>
    <row r="434" spans="1:16" ht="14.25">
      <c r="A434" s="339">
        <v>2018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9"/>
        <v>0</v>
      </c>
      <c r="L434" s="342">
        <v>2</v>
      </c>
      <c r="M434" s="343">
        <v>2020</v>
      </c>
      <c r="N434" s="344">
        <v>4400000</v>
      </c>
      <c r="O434" s="345">
        <v>43125</v>
      </c>
      <c r="P434" s="345">
        <v>43125</v>
      </c>
    </row>
    <row r="435" spans="1:16" ht="14.25">
      <c r="A435" s="339">
        <v>2018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9"/>
        <v>0</v>
      </c>
      <c r="L435" s="342">
        <v>5</v>
      </c>
      <c r="M435" s="343">
        <v>2023</v>
      </c>
      <c r="N435" s="344">
        <v>7400000</v>
      </c>
      <c r="O435" s="345">
        <v>43125</v>
      </c>
      <c r="P435" s="345">
        <v>43125</v>
      </c>
    </row>
    <row r="436" spans="1:16" ht="14.25">
      <c r="A436" s="339">
        <v>2018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9"/>
        <v>0</v>
      </c>
      <c r="L436" s="342">
        <v>1</v>
      </c>
      <c r="M436" s="343">
        <v>2019</v>
      </c>
      <c r="N436" s="344">
        <v>3400000</v>
      </c>
      <c r="O436" s="345">
        <v>43125</v>
      </c>
      <c r="P436" s="345">
        <v>43125</v>
      </c>
    </row>
    <row r="437" spans="1:16" ht="14.25">
      <c r="A437" s="339">
        <v>2018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aca="true" t="shared" si="20" ref="K437:K516">TRUE</f>
        <v>1</v>
      </c>
      <c r="L437" s="342">
        <v>7</v>
      </c>
      <c r="M437" s="343">
        <v>2025</v>
      </c>
      <c r="N437" s="344">
        <v>0</v>
      </c>
      <c r="O437" s="345">
        <v>43125</v>
      </c>
      <c r="P437" s="345">
        <v>43125</v>
      </c>
    </row>
    <row r="438" spans="1:16" ht="14.25">
      <c r="A438" s="339">
        <v>2018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0"/>
        <v>1</v>
      </c>
      <c r="L438" s="342">
        <v>8</v>
      </c>
      <c r="M438" s="343">
        <v>2026</v>
      </c>
      <c r="N438" s="344">
        <v>0</v>
      </c>
      <c r="O438" s="345">
        <v>43125</v>
      </c>
      <c r="P438" s="345">
        <v>43125</v>
      </c>
    </row>
    <row r="439" spans="1:16" ht="14.25">
      <c r="A439" s="339">
        <v>2018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0"/>
        <v>1</v>
      </c>
      <c r="L439" s="342">
        <v>1</v>
      </c>
      <c r="M439" s="343">
        <v>2019</v>
      </c>
      <c r="N439" s="344">
        <v>0</v>
      </c>
      <c r="O439" s="345">
        <v>43125</v>
      </c>
      <c r="P439" s="345">
        <v>43125</v>
      </c>
    </row>
    <row r="440" spans="1:16" ht="14.25">
      <c r="A440" s="339">
        <v>2018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0"/>
        <v>1</v>
      </c>
      <c r="L440" s="342">
        <v>3</v>
      </c>
      <c r="M440" s="343">
        <v>2021</v>
      </c>
      <c r="N440" s="344">
        <v>0</v>
      </c>
      <c r="O440" s="345">
        <v>43125</v>
      </c>
      <c r="P440" s="345">
        <v>43125</v>
      </c>
    </row>
    <row r="441" spans="1:16" ht="14.25">
      <c r="A441" s="339">
        <v>2018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0"/>
        <v>1</v>
      </c>
      <c r="L441" s="342">
        <v>2</v>
      </c>
      <c r="M441" s="343">
        <v>2020</v>
      </c>
      <c r="N441" s="344">
        <v>0</v>
      </c>
      <c r="O441" s="345">
        <v>43125</v>
      </c>
      <c r="P441" s="345">
        <v>43125</v>
      </c>
    </row>
    <row r="442" spans="1:16" ht="14.25">
      <c r="A442" s="339">
        <v>2018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0"/>
        <v>1</v>
      </c>
      <c r="L442" s="342">
        <v>5</v>
      </c>
      <c r="M442" s="343">
        <v>2023</v>
      </c>
      <c r="N442" s="344">
        <v>0</v>
      </c>
      <c r="O442" s="345">
        <v>43125</v>
      </c>
      <c r="P442" s="345">
        <v>43125</v>
      </c>
    </row>
    <row r="443" spans="1:16" ht="14.25">
      <c r="A443" s="339">
        <v>2018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0"/>
        <v>1</v>
      </c>
      <c r="L443" s="342">
        <v>4</v>
      </c>
      <c r="M443" s="343">
        <v>2022</v>
      </c>
      <c r="N443" s="344">
        <v>0</v>
      </c>
      <c r="O443" s="345">
        <v>43125</v>
      </c>
      <c r="P443" s="345">
        <v>43125</v>
      </c>
    </row>
    <row r="444" spans="1:16" ht="14.25">
      <c r="A444" s="339">
        <v>2018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0"/>
        <v>1</v>
      </c>
      <c r="L444" s="342">
        <v>6</v>
      </c>
      <c r="M444" s="343">
        <v>2024</v>
      </c>
      <c r="N444" s="344">
        <v>0</v>
      </c>
      <c r="O444" s="345">
        <v>43125</v>
      </c>
      <c r="P444" s="345">
        <v>43125</v>
      </c>
    </row>
    <row r="445" spans="1:16" ht="14.25">
      <c r="A445" s="339">
        <v>2018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20"/>
        <v>1</v>
      </c>
      <c r="L445" s="342">
        <v>0</v>
      </c>
      <c r="M445" s="343">
        <v>2018</v>
      </c>
      <c r="N445" s="344">
        <v>320137.68</v>
      </c>
      <c r="O445" s="345">
        <v>43125</v>
      </c>
      <c r="P445" s="345">
        <v>43125</v>
      </c>
    </row>
    <row r="446" spans="1:16" ht="14.25">
      <c r="A446" s="339">
        <v>2018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0"/>
        <v>1</v>
      </c>
      <c r="L446" s="342">
        <v>8</v>
      </c>
      <c r="M446" s="343">
        <v>2026</v>
      </c>
      <c r="N446" s="344">
        <v>0</v>
      </c>
      <c r="O446" s="345">
        <v>43125</v>
      </c>
      <c r="P446" s="345">
        <v>43125</v>
      </c>
    </row>
    <row r="447" spans="1:16" ht="14.25">
      <c r="A447" s="339">
        <v>2018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0"/>
        <v>1</v>
      </c>
      <c r="L447" s="342">
        <v>6</v>
      </c>
      <c r="M447" s="343">
        <v>2024</v>
      </c>
      <c r="N447" s="344">
        <v>0</v>
      </c>
      <c r="O447" s="345">
        <v>43125</v>
      </c>
      <c r="P447" s="345">
        <v>43125</v>
      </c>
    </row>
    <row r="448" spans="1:16" ht="14.25">
      <c r="A448" s="339">
        <v>2018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0"/>
        <v>1</v>
      </c>
      <c r="L448" s="342">
        <v>1</v>
      </c>
      <c r="M448" s="343">
        <v>2019</v>
      </c>
      <c r="N448" s="344">
        <v>9500000</v>
      </c>
      <c r="O448" s="345">
        <v>43125</v>
      </c>
      <c r="P448" s="345">
        <v>43125</v>
      </c>
    </row>
    <row r="449" spans="1:16" ht="14.25">
      <c r="A449" s="339">
        <v>2018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0"/>
        <v>1</v>
      </c>
      <c r="L449" s="342">
        <v>3</v>
      </c>
      <c r="M449" s="343">
        <v>2021</v>
      </c>
      <c r="N449" s="344">
        <v>10500000</v>
      </c>
      <c r="O449" s="345">
        <v>43125</v>
      </c>
      <c r="P449" s="345">
        <v>43125</v>
      </c>
    </row>
    <row r="450" spans="1:16" ht="14.25">
      <c r="A450" s="339">
        <v>2018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0"/>
        <v>1</v>
      </c>
      <c r="L450" s="342">
        <v>2</v>
      </c>
      <c r="M450" s="343">
        <v>2020</v>
      </c>
      <c r="N450" s="344">
        <v>10000000</v>
      </c>
      <c r="O450" s="345">
        <v>43125</v>
      </c>
      <c r="P450" s="345">
        <v>43125</v>
      </c>
    </row>
    <row r="451" spans="1:16" ht="14.25">
      <c r="A451" s="339">
        <v>2018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0"/>
        <v>1</v>
      </c>
      <c r="L451" s="342">
        <v>0</v>
      </c>
      <c r="M451" s="343">
        <v>2018</v>
      </c>
      <c r="N451" s="344">
        <v>9468072</v>
      </c>
      <c r="O451" s="345">
        <v>43125</v>
      </c>
      <c r="P451" s="345">
        <v>43125</v>
      </c>
    </row>
    <row r="452" spans="1:16" ht="14.25">
      <c r="A452" s="339">
        <v>2018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0"/>
        <v>1</v>
      </c>
      <c r="L452" s="342">
        <v>7</v>
      </c>
      <c r="M452" s="343">
        <v>2025</v>
      </c>
      <c r="N452" s="344">
        <v>0</v>
      </c>
      <c r="O452" s="345">
        <v>43125</v>
      </c>
      <c r="P452" s="345">
        <v>43125</v>
      </c>
    </row>
    <row r="453" spans="1:16" ht="14.25">
      <c r="A453" s="339">
        <v>2018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0"/>
        <v>1</v>
      </c>
      <c r="L453" s="342">
        <v>4</v>
      </c>
      <c r="M453" s="343">
        <v>2022</v>
      </c>
      <c r="N453" s="344">
        <v>0</v>
      </c>
      <c r="O453" s="345">
        <v>43125</v>
      </c>
      <c r="P453" s="345">
        <v>43125</v>
      </c>
    </row>
    <row r="454" spans="1:16" ht="14.25">
      <c r="A454" s="339">
        <v>2018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20"/>
        <v>1</v>
      </c>
      <c r="L454" s="342">
        <v>5</v>
      </c>
      <c r="M454" s="343">
        <v>2023</v>
      </c>
      <c r="N454" s="344">
        <v>0</v>
      </c>
      <c r="O454" s="345">
        <v>43125</v>
      </c>
      <c r="P454" s="345">
        <v>43125</v>
      </c>
    </row>
    <row r="455" spans="1:16" ht="14.25">
      <c r="A455" s="339">
        <v>2018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0"/>
        <v>1</v>
      </c>
      <c r="L455" s="342">
        <v>1</v>
      </c>
      <c r="M455" s="343">
        <v>2019</v>
      </c>
      <c r="N455" s="344">
        <v>0</v>
      </c>
      <c r="O455" s="345">
        <v>43125</v>
      </c>
      <c r="P455" s="345">
        <v>43125</v>
      </c>
    </row>
    <row r="456" spans="1:16" ht="14.25">
      <c r="A456" s="339">
        <v>2018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0"/>
        <v>1</v>
      </c>
      <c r="L456" s="342">
        <v>2</v>
      </c>
      <c r="M456" s="343">
        <v>2020</v>
      </c>
      <c r="N456" s="344">
        <v>0</v>
      </c>
      <c r="O456" s="345">
        <v>43125</v>
      </c>
      <c r="P456" s="345">
        <v>43125</v>
      </c>
    </row>
    <row r="457" spans="1:16" ht="14.25">
      <c r="A457" s="339">
        <v>2018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0"/>
        <v>1</v>
      </c>
      <c r="L457" s="342">
        <v>0</v>
      </c>
      <c r="M457" s="343">
        <v>2018</v>
      </c>
      <c r="N457" s="344">
        <v>1998341.68</v>
      </c>
      <c r="O457" s="345">
        <v>43125</v>
      </c>
      <c r="P457" s="345">
        <v>43125</v>
      </c>
    </row>
    <row r="458" spans="1:16" ht="14.25">
      <c r="A458" s="339">
        <v>2018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0"/>
        <v>1</v>
      </c>
      <c r="L458" s="342">
        <v>3</v>
      </c>
      <c r="M458" s="343">
        <v>2021</v>
      </c>
      <c r="N458" s="344">
        <v>0</v>
      </c>
      <c r="O458" s="345">
        <v>43125</v>
      </c>
      <c r="P458" s="345">
        <v>43125</v>
      </c>
    </row>
    <row r="459" spans="1:16" ht="14.25">
      <c r="A459" s="339">
        <v>2018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0"/>
        <v>1</v>
      </c>
      <c r="L459" s="342">
        <v>5</v>
      </c>
      <c r="M459" s="343">
        <v>2023</v>
      </c>
      <c r="N459" s="344">
        <v>0</v>
      </c>
      <c r="O459" s="345">
        <v>43125</v>
      </c>
      <c r="P459" s="345">
        <v>43125</v>
      </c>
    </row>
    <row r="460" spans="1:16" ht="14.25">
      <c r="A460" s="339">
        <v>2018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0"/>
        <v>1</v>
      </c>
      <c r="L460" s="342">
        <v>7</v>
      </c>
      <c r="M460" s="343">
        <v>2025</v>
      </c>
      <c r="N460" s="344">
        <v>0</v>
      </c>
      <c r="O460" s="345">
        <v>43125</v>
      </c>
      <c r="P460" s="345">
        <v>43125</v>
      </c>
    </row>
    <row r="461" spans="1:16" ht="14.25">
      <c r="A461" s="339">
        <v>2018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0"/>
        <v>1</v>
      </c>
      <c r="L461" s="342">
        <v>4</v>
      </c>
      <c r="M461" s="343">
        <v>2022</v>
      </c>
      <c r="N461" s="344">
        <v>0</v>
      </c>
      <c r="O461" s="345">
        <v>43125</v>
      </c>
      <c r="P461" s="345">
        <v>43125</v>
      </c>
    </row>
    <row r="462" spans="1:16" ht="14.25">
      <c r="A462" s="339">
        <v>2018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0"/>
        <v>1</v>
      </c>
      <c r="L462" s="342">
        <v>8</v>
      </c>
      <c r="M462" s="343">
        <v>2026</v>
      </c>
      <c r="N462" s="344">
        <v>0</v>
      </c>
      <c r="O462" s="345">
        <v>43125</v>
      </c>
      <c r="P462" s="345">
        <v>43125</v>
      </c>
    </row>
    <row r="463" spans="1:16" ht="14.25">
      <c r="A463" s="339">
        <v>2018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0"/>
        <v>1</v>
      </c>
      <c r="L463" s="342">
        <v>2</v>
      </c>
      <c r="M463" s="343">
        <v>2020</v>
      </c>
      <c r="N463" s="344">
        <v>47217916.14</v>
      </c>
      <c r="O463" s="345">
        <v>43125</v>
      </c>
      <c r="P463" s="345">
        <v>43125</v>
      </c>
    </row>
    <row r="464" spans="1:16" ht="14.25">
      <c r="A464" s="339">
        <v>2018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0"/>
        <v>1</v>
      </c>
      <c r="L464" s="342">
        <v>0</v>
      </c>
      <c r="M464" s="343">
        <v>2018</v>
      </c>
      <c r="N464" s="344">
        <v>54980344.62</v>
      </c>
      <c r="O464" s="345">
        <v>43125</v>
      </c>
      <c r="P464" s="345">
        <v>43125</v>
      </c>
    </row>
    <row r="465" spans="1:16" ht="14.25">
      <c r="A465" s="339">
        <v>2018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0"/>
        <v>1</v>
      </c>
      <c r="L465" s="342">
        <v>6</v>
      </c>
      <c r="M465" s="343">
        <v>2024</v>
      </c>
      <c r="N465" s="344">
        <v>52600000</v>
      </c>
      <c r="O465" s="345">
        <v>43125</v>
      </c>
      <c r="P465" s="345">
        <v>43125</v>
      </c>
    </row>
    <row r="466" spans="1:16" ht="14.25">
      <c r="A466" s="339">
        <v>2018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0"/>
        <v>1</v>
      </c>
      <c r="L466" s="342">
        <v>3</v>
      </c>
      <c r="M466" s="343">
        <v>2021</v>
      </c>
      <c r="N466" s="344">
        <v>51077629.81</v>
      </c>
      <c r="O466" s="345">
        <v>43125</v>
      </c>
      <c r="P466" s="345">
        <v>43125</v>
      </c>
    </row>
    <row r="467" spans="1:16" ht="14.25">
      <c r="A467" s="339">
        <v>2018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0"/>
        <v>1</v>
      </c>
      <c r="L467" s="342">
        <v>7</v>
      </c>
      <c r="M467" s="343">
        <v>2025</v>
      </c>
      <c r="N467" s="344">
        <v>54100000</v>
      </c>
      <c r="O467" s="345">
        <v>43125</v>
      </c>
      <c r="P467" s="345">
        <v>43125</v>
      </c>
    </row>
    <row r="468" spans="1:16" ht="14.25">
      <c r="A468" s="339">
        <v>2018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0"/>
        <v>1</v>
      </c>
      <c r="L468" s="342">
        <v>1</v>
      </c>
      <c r="M468" s="343">
        <v>2019</v>
      </c>
      <c r="N468" s="344">
        <v>51453993.15</v>
      </c>
      <c r="O468" s="345">
        <v>43125</v>
      </c>
      <c r="P468" s="345">
        <v>43125</v>
      </c>
    </row>
    <row r="469" spans="1:16" ht="14.25">
      <c r="A469" s="339">
        <v>2018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0"/>
        <v>1</v>
      </c>
      <c r="L469" s="342">
        <v>4</v>
      </c>
      <c r="M469" s="343">
        <v>2022</v>
      </c>
      <c r="N469" s="344">
        <v>49600000</v>
      </c>
      <c r="O469" s="345">
        <v>43125</v>
      </c>
      <c r="P469" s="345">
        <v>43125</v>
      </c>
    </row>
    <row r="470" spans="1:16" ht="14.25">
      <c r="A470" s="339">
        <v>2018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0"/>
        <v>1</v>
      </c>
      <c r="L470" s="342">
        <v>8</v>
      </c>
      <c r="M470" s="343">
        <v>2026</v>
      </c>
      <c r="N470" s="344">
        <v>55600000</v>
      </c>
      <c r="O470" s="345">
        <v>43125</v>
      </c>
      <c r="P470" s="345">
        <v>43125</v>
      </c>
    </row>
    <row r="471" spans="1:16" ht="14.25">
      <c r="A471" s="339">
        <v>2018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0"/>
        <v>1</v>
      </c>
      <c r="L471" s="342">
        <v>5</v>
      </c>
      <c r="M471" s="343">
        <v>2023</v>
      </c>
      <c r="N471" s="344">
        <v>51100000</v>
      </c>
      <c r="O471" s="345">
        <v>43125</v>
      </c>
      <c r="P471" s="345">
        <v>43125</v>
      </c>
    </row>
    <row r="472" spans="1:16" ht="14.25">
      <c r="A472" s="339">
        <v>2018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0"/>
        <v>1</v>
      </c>
      <c r="L472" s="342">
        <v>2</v>
      </c>
      <c r="M472" s="343">
        <v>2020</v>
      </c>
      <c r="N472" s="344">
        <v>10411666.47</v>
      </c>
      <c r="O472" s="345">
        <v>43125</v>
      </c>
      <c r="P472" s="345">
        <v>43125</v>
      </c>
    </row>
    <row r="473" spans="1:16" ht="14.25">
      <c r="A473" s="339">
        <v>2018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0"/>
        <v>1</v>
      </c>
      <c r="L473" s="342">
        <v>7</v>
      </c>
      <c r="M473" s="343">
        <v>2025</v>
      </c>
      <c r="N473" s="344">
        <v>1198341.68</v>
      </c>
      <c r="O473" s="345">
        <v>43125</v>
      </c>
      <c r="P473" s="345">
        <v>43125</v>
      </c>
    </row>
    <row r="474" spans="1:16" ht="14.25">
      <c r="A474" s="339">
        <v>2018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0"/>
        <v>1</v>
      </c>
      <c r="L474" s="342">
        <v>5</v>
      </c>
      <c r="M474" s="343">
        <v>2023</v>
      </c>
      <c r="N474" s="344">
        <v>3533658.47</v>
      </c>
      <c r="O474" s="345">
        <v>43125</v>
      </c>
      <c r="P474" s="345">
        <v>43125</v>
      </c>
    </row>
    <row r="475" spans="1:16" ht="14.25">
      <c r="A475" s="339">
        <v>2018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0"/>
        <v>1</v>
      </c>
      <c r="L475" s="342">
        <v>8</v>
      </c>
      <c r="M475" s="343">
        <v>2026</v>
      </c>
      <c r="N475" s="344">
        <v>0</v>
      </c>
      <c r="O475" s="345">
        <v>43125</v>
      </c>
      <c r="P475" s="345">
        <v>43125</v>
      </c>
    </row>
    <row r="476" spans="1:16" ht="14.25">
      <c r="A476" s="339">
        <v>2018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0"/>
        <v>1</v>
      </c>
      <c r="L476" s="342">
        <v>4</v>
      </c>
      <c r="M476" s="343">
        <v>2022</v>
      </c>
      <c r="N476" s="344">
        <v>5951658.47</v>
      </c>
      <c r="O476" s="345">
        <v>43125</v>
      </c>
      <c r="P476" s="345">
        <v>43125</v>
      </c>
    </row>
    <row r="477" spans="1:16" ht="14.25">
      <c r="A477" s="339">
        <v>2018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0"/>
        <v>1</v>
      </c>
      <c r="L477" s="342">
        <v>3</v>
      </c>
      <c r="M477" s="343">
        <v>2021</v>
      </c>
      <c r="N477" s="344">
        <v>8201662.47</v>
      </c>
      <c r="O477" s="345">
        <v>43125</v>
      </c>
      <c r="P477" s="345">
        <v>43125</v>
      </c>
    </row>
    <row r="478" spans="1:16" ht="14.25">
      <c r="A478" s="339">
        <v>2018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0"/>
        <v>1</v>
      </c>
      <c r="L478" s="342">
        <v>1</v>
      </c>
      <c r="M478" s="343">
        <v>2019</v>
      </c>
      <c r="N478" s="344">
        <v>12621670.47</v>
      </c>
      <c r="O478" s="345">
        <v>43125</v>
      </c>
      <c r="P478" s="345">
        <v>43125</v>
      </c>
    </row>
    <row r="479" spans="1:16" ht="14.25">
      <c r="A479" s="339">
        <v>2018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0"/>
        <v>1</v>
      </c>
      <c r="L479" s="342">
        <v>6</v>
      </c>
      <c r="M479" s="343">
        <v>2024</v>
      </c>
      <c r="N479" s="344">
        <v>2283658.47</v>
      </c>
      <c r="O479" s="345">
        <v>43125</v>
      </c>
      <c r="P479" s="345">
        <v>43125</v>
      </c>
    </row>
    <row r="480" spans="1:16" ht="14.25">
      <c r="A480" s="339">
        <v>2018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0"/>
        <v>1</v>
      </c>
      <c r="L480" s="342">
        <v>0</v>
      </c>
      <c r="M480" s="343">
        <v>2018</v>
      </c>
      <c r="N480" s="344">
        <v>14481674.47</v>
      </c>
      <c r="O480" s="345">
        <v>43125</v>
      </c>
      <c r="P480" s="345">
        <v>43125</v>
      </c>
    </row>
    <row r="481" spans="1:16" ht="14.25">
      <c r="A481" s="339">
        <v>2018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0"/>
        <v>1</v>
      </c>
      <c r="L481" s="342">
        <v>5</v>
      </c>
      <c r="M481" s="343">
        <v>2023</v>
      </c>
      <c r="N481" s="344">
        <v>0</v>
      </c>
      <c r="O481" s="345">
        <v>43125</v>
      </c>
      <c r="P481" s="345">
        <v>43125</v>
      </c>
    </row>
    <row r="482" spans="1:16" ht="14.25">
      <c r="A482" s="339">
        <v>2018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0"/>
        <v>1</v>
      </c>
      <c r="L482" s="342">
        <v>2</v>
      </c>
      <c r="M482" s="343">
        <v>2020</v>
      </c>
      <c r="N482" s="344">
        <v>0</v>
      </c>
      <c r="O482" s="345">
        <v>43125</v>
      </c>
      <c r="P482" s="345">
        <v>43125</v>
      </c>
    </row>
    <row r="483" spans="1:16" ht="14.25">
      <c r="A483" s="339">
        <v>2018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0"/>
        <v>1</v>
      </c>
      <c r="L483" s="342">
        <v>0</v>
      </c>
      <c r="M483" s="343">
        <v>2018</v>
      </c>
      <c r="N483" s="344">
        <v>6778558.93</v>
      </c>
      <c r="O483" s="345">
        <v>43125</v>
      </c>
      <c r="P483" s="345">
        <v>43125</v>
      </c>
    </row>
    <row r="484" spans="1:16" ht="14.25">
      <c r="A484" s="339">
        <v>2018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0"/>
        <v>1</v>
      </c>
      <c r="L484" s="342">
        <v>8</v>
      </c>
      <c r="M484" s="343">
        <v>2026</v>
      </c>
      <c r="N484" s="344">
        <v>0</v>
      </c>
      <c r="O484" s="345">
        <v>43125</v>
      </c>
      <c r="P484" s="345">
        <v>43125</v>
      </c>
    </row>
    <row r="485" spans="1:16" ht="14.25">
      <c r="A485" s="339">
        <v>2018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0"/>
        <v>1</v>
      </c>
      <c r="L485" s="342">
        <v>4</v>
      </c>
      <c r="M485" s="343">
        <v>2022</v>
      </c>
      <c r="N485" s="344">
        <v>0</v>
      </c>
      <c r="O485" s="345">
        <v>43125</v>
      </c>
      <c r="P485" s="345">
        <v>43125</v>
      </c>
    </row>
    <row r="486" spans="1:16" ht="14.25">
      <c r="A486" s="339">
        <v>2018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0"/>
        <v>1</v>
      </c>
      <c r="L486" s="342">
        <v>1</v>
      </c>
      <c r="M486" s="343">
        <v>2019</v>
      </c>
      <c r="N486" s="344">
        <v>0</v>
      </c>
      <c r="O486" s="345">
        <v>43125</v>
      </c>
      <c r="P486" s="345">
        <v>43125</v>
      </c>
    </row>
    <row r="487" spans="1:16" ht="14.25">
      <c r="A487" s="339">
        <v>2018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0"/>
        <v>1</v>
      </c>
      <c r="L487" s="342">
        <v>3</v>
      </c>
      <c r="M487" s="343">
        <v>2021</v>
      </c>
      <c r="N487" s="344">
        <v>0</v>
      </c>
      <c r="O487" s="345">
        <v>43125</v>
      </c>
      <c r="P487" s="345">
        <v>43125</v>
      </c>
    </row>
    <row r="488" spans="1:16" ht="14.25">
      <c r="A488" s="339">
        <v>2018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0"/>
        <v>1</v>
      </c>
      <c r="L488" s="342">
        <v>6</v>
      </c>
      <c r="M488" s="343">
        <v>2024</v>
      </c>
      <c r="N488" s="344">
        <v>0</v>
      </c>
      <c r="O488" s="345">
        <v>43125</v>
      </c>
      <c r="P488" s="345">
        <v>43125</v>
      </c>
    </row>
    <row r="489" spans="1:16" ht="14.25">
      <c r="A489" s="339">
        <v>2018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0"/>
        <v>1</v>
      </c>
      <c r="L489" s="342">
        <v>7</v>
      </c>
      <c r="M489" s="343">
        <v>2025</v>
      </c>
      <c r="N489" s="344">
        <v>0</v>
      </c>
      <c r="O489" s="345">
        <v>43125</v>
      </c>
      <c r="P489" s="345">
        <v>43125</v>
      </c>
    </row>
    <row r="490" spans="1:16" ht="14.25">
      <c r="A490" s="339">
        <v>2018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0"/>
        <v>1</v>
      </c>
      <c r="L490" s="342">
        <v>7</v>
      </c>
      <c r="M490" s="343">
        <v>2025</v>
      </c>
      <c r="N490" s="344">
        <v>0</v>
      </c>
      <c r="O490" s="345">
        <v>43125</v>
      </c>
      <c r="P490" s="345">
        <v>43125</v>
      </c>
    </row>
    <row r="491" spans="1:16" ht="14.25">
      <c r="A491" s="339">
        <v>2018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0"/>
        <v>1</v>
      </c>
      <c r="L491" s="342">
        <v>8</v>
      </c>
      <c r="M491" s="343">
        <v>2026</v>
      </c>
      <c r="N491" s="344">
        <v>0</v>
      </c>
      <c r="O491" s="345">
        <v>43125</v>
      </c>
      <c r="P491" s="345">
        <v>43125</v>
      </c>
    </row>
    <row r="492" spans="1:16" ht="14.25">
      <c r="A492" s="339">
        <v>2018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0"/>
        <v>1</v>
      </c>
      <c r="L492" s="342">
        <v>1</v>
      </c>
      <c r="M492" s="343">
        <v>2019</v>
      </c>
      <c r="N492" s="344">
        <v>0</v>
      </c>
      <c r="O492" s="345">
        <v>43125</v>
      </c>
      <c r="P492" s="345">
        <v>43125</v>
      </c>
    </row>
    <row r="493" spans="1:16" ht="14.25">
      <c r="A493" s="339">
        <v>2018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0"/>
        <v>1</v>
      </c>
      <c r="L493" s="342">
        <v>2</v>
      </c>
      <c r="M493" s="343">
        <v>2020</v>
      </c>
      <c r="N493" s="344">
        <v>0</v>
      </c>
      <c r="O493" s="345">
        <v>43125</v>
      </c>
      <c r="P493" s="345">
        <v>43125</v>
      </c>
    </row>
    <row r="494" spans="1:16" ht="14.25">
      <c r="A494" s="339">
        <v>2018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0"/>
        <v>1</v>
      </c>
      <c r="L494" s="342">
        <v>3</v>
      </c>
      <c r="M494" s="343">
        <v>2021</v>
      </c>
      <c r="N494" s="344">
        <v>0</v>
      </c>
      <c r="O494" s="345">
        <v>43125</v>
      </c>
      <c r="P494" s="345">
        <v>43125</v>
      </c>
    </row>
    <row r="495" spans="1:16" ht="14.25">
      <c r="A495" s="339">
        <v>2018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0"/>
        <v>1</v>
      </c>
      <c r="L495" s="342">
        <v>5</v>
      </c>
      <c r="M495" s="343">
        <v>2023</v>
      </c>
      <c r="N495" s="344">
        <v>0</v>
      </c>
      <c r="O495" s="345">
        <v>43125</v>
      </c>
      <c r="P495" s="345">
        <v>43125</v>
      </c>
    </row>
    <row r="496" spans="1:16" ht="14.25">
      <c r="A496" s="339">
        <v>2018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0"/>
        <v>1</v>
      </c>
      <c r="L496" s="342">
        <v>0</v>
      </c>
      <c r="M496" s="343">
        <v>2018</v>
      </c>
      <c r="N496" s="344">
        <v>0</v>
      </c>
      <c r="O496" s="345">
        <v>43125</v>
      </c>
      <c r="P496" s="345">
        <v>43125</v>
      </c>
    </row>
    <row r="497" spans="1:16" ht="14.25">
      <c r="A497" s="339">
        <v>2018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0"/>
        <v>1</v>
      </c>
      <c r="L497" s="342">
        <v>6</v>
      </c>
      <c r="M497" s="343">
        <v>2024</v>
      </c>
      <c r="N497" s="344">
        <v>0</v>
      </c>
      <c r="O497" s="345">
        <v>43125</v>
      </c>
      <c r="P497" s="345">
        <v>43125</v>
      </c>
    </row>
    <row r="498" spans="1:16" ht="14.25">
      <c r="A498" s="339">
        <v>2018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0"/>
        <v>1</v>
      </c>
      <c r="L498" s="342">
        <v>4</v>
      </c>
      <c r="M498" s="343">
        <v>2022</v>
      </c>
      <c r="N498" s="344">
        <v>0</v>
      </c>
      <c r="O498" s="345">
        <v>43125</v>
      </c>
      <c r="P498" s="345">
        <v>43125</v>
      </c>
    </row>
    <row r="499" spans="1:16" ht="14.25">
      <c r="A499" s="339">
        <v>2018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0"/>
        <v>1</v>
      </c>
      <c r="L499" s="342">
        <v>8</v>
      </c>
      <c r="M499" s="343">
        <v>2026</v>
      </c>
      <c r="N499" s="344">
        <v>0</v>
      </c>
      <c r="O499" s="345">
        <v>43125</v>
      </c>
      <c r="P499" s="345">
        <v>43125</v>
      </c>
    </row>
    <row r="500" spans="1:16" ht="14.25">
      <c r="A500" s="339">
        <v>2018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0"/>
        <v>1</v>
      </c>
      <c r="L500" s="342">
        <v>2</v>
      </c>
      <c r="M500" s="343">
        <v>2020</v>
      </c>
      <c r="N500" s="344">
        <v>512589.91</v>
      </c>
      <c r="O500" s="345">
        <v>43125</v>
      </c>
      <c r="P500" s="345">
        <v>43125</v>
      </c>
    </row>
    <row r="501" spans="1:16" ht="14.25">
      <c r="A501" s="339">
        <v>2018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0"/>
        <v>1</v>
      </c>
      <c r="L501" s="342">
        <v>1</v>
      </c>
      <c r="M501" s="343">
        <v>2019</v>
      </c>
      <c r="N501" s="344">
        <v>1823829.31</v>
      </c>
      <c r="O501" s="345">
        <v>43125</v>
      </c>
      <c r="P501" s="345">
        <v>43125</v>
      </c>
    </row>
    <row r="502" spans="1:16" ht="14.25">
      <c r="A502" s="339">
        <v>2018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0"/>
        <v>1</v>
      </c>
      <c r="L502" s="342">
        <v>3</v>
      </c>
      <c r="M502" s="343">
        <v>2021</v>
      </c>
      <c r="N502" s="344">
        <v>2907462.21</v>
      </c>
      <c r="O502" s="345">
        <v>43125</v>
      </c>
      <c r="P502" s="345">
        <v>43125</v>
      </c>
    </row>
    <row r="503" spans="1:16" ht="14.25">
      <c r="A503" s="339">
        <v>2018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0"/>
        <v>1</v>
      </c>
      <c r="L503" s="342">
        <v>6</v>
      </c>
      <c r="M503" s="343">
        <v>2024</v>
      </c>
      <c r="N503" s="344">
        <v>0</v>
      </c>
      <c r="O503" s="345">
        <v>43125</v>
      </c>
      <c r="P503" s="345">
        <v>43125</v>
      </c>
    </row>
    <row r="504" spans="1:16" ht="14.25">
      <c r="A504" s="339">
        <v>2018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0"/>
        <v>1</v>
      </c>
      <c r="L504" s="342">
        <v>7</v>
      </c>
      <c r="M504" s="343">
        <v>2025</v>
      </c>
      <c r="N504" s="344">
        <v>0</v>
      </c>
      <c r="O504" s="345">
        <v>43125</v>
      </c>
      <c r="P504" s="345">
        <v>43125</v>
      </c>
    </row>
    <row r="505" spans="1:16" ht="14.25">
      <c r="A505" s="339">
        <v>2018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0"/>
        <v>1</v>
      </c>
      <c r="L505" s="342">
        <v>4</v>
      </c>
      <c r="M505" s="343">
        <v>2022</v>
      </c>
      <c r="N505" s="344">
        <v>0</v>
      </c>
      <c r="O505" s="345">
        <v>43125</v>
      </c>
      <c r="P505" s="345">
        <v>43125</v>
      </c>
    </row>
    <row r="506" spans="1:16" ht="14.25">
      <c r="A506" s="339">
        <v>2018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0"/>
        <v>1</v>
      </c>
      <c r="L506" s="342">
        <v>5</v>
      </c>
      <c r="M506" s="343">
        <v>2023</v>
      </c>
      <c r="N506" s="344">
        <v>0</v>
      </c>
      <c r="O506" s="345">
        <v>43125</v>
      </c>
      <c r="P506" s="345">
        <v>43125</v>
      </c>
    </row>
    <row r="507" spans="1:16" ht="14.25">
      <c r="A507" s="339">
        <v>2018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0"/>
        <v>1</v>
      </c>
      <c r="L507" s="342">
        <v>0</v>
      </c>
      <c r="M507" s="343">
        <v>2018</v>
      </c>
      <c r="N507" s="344">
        <v>2783221.68</v>
      </c>
      <c r="O507" s="345">
        <v>43125</v>
      </c>
      <c r="P507" s="345">
        <v>43125</v>
      </c>
    </row>
    <row r="508" spans="1:16" ht="14.25">
      <c r="A508" s="339">
        <v>2018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0"/>
        <v>1</v>
      </c>
      <c r="L508" s="342">
        <v>2</v>
      </c>
      <c r="M508" s="343">
        <v>2020</v>
      </c>
      <c r="N508" s="344">
        <v>0</v>
      </c>
      <c r="O508" s="345">
        <v>43125</v>
      </c>
      <c r="P508" s="345">
        <v>43125</v>
      </c>
    </row>
    <row r="509" spans="1:16" ht="14.25">
      <c r="A509" s="339">
        <v>2018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0"/>
        <v>1</v>
      </c>
      <c r="L509" s="342">
        <v>0</v>
      </c>
      <c r="M509" s="343">
        <v>2018</v>
      </c>
      <c r="N509" s="344">
        <v>0</v>
      </c>
      <c r="O509" s="345">
        <v>43125</v>
      </c>
      <c r="P509" s="345">
        <v>43125</v>
      </c>
    </row>
    <row r="510" spans="1:16" ht="14.25">
      <c r="A510" s="339">
        <v>2018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0"/>
        <v>1</v>
      </c>
      <c r="L510" s="342">
        <v>1</v>
      </c>
      <c r="M510" s="343">
        <v>2019</v>
      </c>
      <c r="N510" s="344">
        <v>0</v>
      </c>
      <c r="O510" s="345">
        <v>43125</v>
      </c>
      <c r="P510" s="345">
        <v>43125</v>
      </c>
    </row>
    <row r="511" spans="1:16" ht="14.25">
      <c r="A511" s="339">
        <v>2018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0"/>
        <v>1</v>
      </c>
      <c r="L511" s="342">
        <v>3</v>
      </c>
      <c r="M511" s="343">
        <v>2021</v>
      </c>
      <c r="N511" s="344">
        <v>0</v>
      </c>
      <c r="O511" s="345">
        <v>43125</v>
      </c>
      <c r="P511" s="345">
        <v>43125</v>
      </c>
    </row>
    <row r="512" spans="1:16" ht="14.25">
      <c r="A512" s="339">
        <v>2018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0"/>
        <v>1</v>
      </c>
      <c r="L512" s="342">
        <v>8</v>
      </c>
      <c r="M512" s="343">
        <v>2026</v>
      </c>
      <c r="N512" s="344">
        <v>0</v>
      </c>
      <c r="O512" s="345">
        <v>43125</v>
      </c>
      <c r="P512" s="345">
        <v>43125</v>
      </c>
    </row>
    <row r="513" spans="1:16" ht="14.25">
      <c r="A513" s="339">
        <v>2018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0"/>
        <v>1</v>
      </c>
      <c r="L513" s="342">
        <v>6</v>
      </c>
      <c r="M513" s="343">
        <v>2024</v>
      </c>
      <c r="N513" s="344">
        <v>0</v>
      </c>
      <c r="O513" s="345">
        <v>43125</v>
      </c>
      <c r="P513" s="345">
        <v>43125</v>
      </c>
    </row>
    <row r="514" spans="1:16" ht="14.25">
      <c r="A514" s="339">
        <v>2018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0"/>
        <v>1</v>
      </c>
      <c r="L514" s="342">
        <v>4</v>
      </c>
      <c r="M514" s="343">
        <v>2022</v>
      </c>
      <c r="N514" s="344">
        <v>0</v>
      </c>
      <c r="O514" s="345">
        <v>43125</v>
      </c>
      <c r="P514" s="345">
        <v>43125</v>
      </c>
    </row>
    <row r="515" spans="1:16" ht="14.25">
      <c r="A515" s="339">
        <v>2018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0"/>
        <v>1</v>
      </c>
      <c r="L515" s="342">
        <v>5</v>
      </c>
      <c r="M515" s="343">
        <v>2023</v>
      </c>
      <c r="N515" s="344">
        <v>0</v>
      </c>
      <c r="O515" s="345">
        <v>43125</v>
      </c>
      <c r="P515" s="345">
        <v>43125</v>
      </c>
    </row>
    <row r="516" spans="1:16" ht="14.25">
      <c r="A516" s="339">
        <v>2018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0"/>
        <v>1</v>
      </c>
      <c r="L516" s="342">
        <v>7</v>
      </c>
      <c r="M516" s="343">
        <v>2025</v>
      </c>
      <c r="N516" s="344">
        <v>0</v>
      </c>
      <c r="O516" s="345">
        <v>43125</v>
      </c>
      <c r="P516" s="345">
        <v>43125</v>
      </c>
    </row>
    <row r="517" spans="1:16" ht="14.25">
      <c r="A517" s="339">
        <v>2018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1" ref="K517:K561">FALSE</f>
        <v>0</v>
      </c>
      <c r="L517" s="342">
        <v>6</v>
      </c>
      <c r="M517" s="343">
        <v>2024</v>
      </c>
      <c r="N517" s="344">
        <v>0</v>
      </c>
      <c r="O517" s="345">
        <v>43125</v>
      </c>
      <c r="P517" s="345">
        <v>43125</v>
      </c>
    </row>
    <row r="518" spans="1:16" ht="14.25">
      <c r="A518" s="339">
        <v>2018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1"/>
        <v>0</v>
      </c>
      <c r="L518" s="342">
        <v>1</v>
      </c>
      <c r="M518" s="343">
        <v>2019</v>
      </c>
      <c r="N518" s="344">
        <v>12240</v>
      </c>
      <c r="O518" s="345">
        <v>43125</v>
      </c>
      <c r="P518" s="345">
        <v>43125</v>
      </c>
    </row>
    <row r="519" spans="1:16" ht="14.25">
      <c r="A519" s="339">
        <v>2018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1"/>
        <v>0</v>
      </c>
      <c r="L519" s="342">
        <v>7</v>
      </c>
      <c r="M519" s="343">
        <v>2025</v>
      </c>
      <c r="N519" s="344">
        <v>0</v>
      </c>
      <c r="O519" s="345">
        <v>43125</v>
      </c>
      <c r="P519" s="345">
        <v>43125</v>
      </c>
    </row>
    <row r="520" spans="1:16" ht="14.25">
      <c r="A520" s="339">
        <v>2018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1"/>
        <v>0</v>
      </c>
      <c r="L520" s="342">
        <v>2</v>
      </c>
      <c r="M520" s="343">
        <v>2020</v>
      </c>
      <c r="N520" s="344">
        <v>12240</v>
      </c>
      <c r="O520" s="345">
        <v>43125</v>
      </c>
      <c r="P520" s="345">
        <v>43125</v>
      </c>
    </row>
    <row r="521" spans="1:16" ht="14.25">
      <c r="A521" s="339">
        <v>2018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1"/>
        <v>0</v>
      </c>
      <c r="L521" s="342">
        <v>3</v>
      </c>
      <c r="M521" s="343">
        <v>2021</v>
      </c>
      <c r="N521" s="344">
        <v>17680</v>
      </c>
      <c r="O521" s="345">
        <v>43125</v>
      </c>
      <c r="P521" s="345">
        <v>43125</v>
      </c>
    </row>
    <row r="522" spans="1:16" ht="14.25">
      <c r="A522" s="339">
        <v>2018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1"/>
        <v>0</v>
      </c>
      <c r="L522" s="342">
        <v>0</v>
      </c>
      <c r="M522" s="343">
        <v>2018</v>
      </c>
      <c r="N522" s="344">
        <v>88679.42</v>
      </c>
      <c r="O522" s="345">
        <v>43125</v>
      </c>
      <c r="P522" s="345">
        <v>43125</v>
      </c>
    </row>
    <row r="523" spans="1:16" ht="14.25">
      <c r="A523" s="339">
        <v>2018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1"/>
        <v>0</v>
      </c>
      <c r="L523" s="342">
        <v>8</v>
      </c>
      <c r="M523" s="343">
        <v>2026</v>
      </c>
      <c r="N523" s="344">
        <v>0</v>
      </c>
      <c r="O523" s="345">
        <v>43125</v>
      </c>
      <c r="P523" s="345">
        <v>43125</v>
      </c>
    </row>
    <row r="524" spans="1:16" ht="14.25">
      <c r="A524" s="339">
        <v>2018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1"/>
        <v>0</v>
      </c>
      <c r="L524" s="342">
        <v>4</v>
      </c>
      <c r="M524" s="343">
        <v>2022</v>
      </c>
      <c r="N524" s="344">
        <v>0</v>
      </c>
      <c r="O524" s="345">
        <v>43125</v>
      </c>
      <c r="P524" s="345">
        <v>43125</v>
      </c>
    </row>
    <row r="525" spans="1:16" ht="14.25">
      <c r="A525" s="339">
        <v>2018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1"/>
        <v>0</v>
      </c>
      <c r="L525" s="342">
        <v>5</v>
      </c>
      <c r="M525" s="343">
        <v>2023</v>
      </c>
      <c r="N525" s="344">
        <v>0</v>
      </c>
      <c r="O525" s="345">
        <v>43125</v>
      </c>
      <c r="P525" s="345">
        <v>43125</v>
      </c>
    </row>
    <row r="526" spans="1:16" ht="14.25">
      <c r="A526" s="339">
        <v>2018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1"/>
        <v>0</v>
      </c>
      <c r="L526" s="342">
        <v>8</v>
      </c>
      <c r="M526" s="343">
        <v>2026</v>
      </c>
      <c r="N526" s="344">
        <v>0</v>
      </c>
      <c r="O526" s="345">
        <v>43125</v>
      </c>
      <c r="P526" s="345">
        <v>43125</v>
      </c>
    </row>
    <row r="527" spans="1:16" ht="14.25">
      <c r="A527" s="339">
        <v>2018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1"/>
        <v>0</v>
      </c>
      <c r="L527" s="342">
        <v>7</v>
      </c>
      <c r="M527" s="343">
        <v>2025</v>
      </c>
      <c r="N527" s="344">
        <v>0</v>
      </c>
      <c r="O527" s="345">
        <v>43125</v>
      </c>
      <c r="P527" s="345">
        <v>43125</v>
      </c>
    </row>
    <row r="528" spans="1:16" ht="14.25">
      <c r="A528" s="339">
        <v>2018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1"/>
        <v>0</v>
      </c>
      <c r="L528" s="342">
        <v>1</v>
      </c>
      <c r="M528" s="343">
        <v>2019</v>
      </c>
      <c r="N528" s="344">
        <v>1173704.15</v>
      </c>
      <c r="O528" s="345">
        <v>43125</v>
      </c>
      <c r="P528" s="345">
        <v>43125</v>
      </c>
    </row>
    <row r="529" spans="1:16" ht="14.25">
      <c r="A529" s="339">
        <v>2018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1"/>
        <v>0</v>
      </c>
      <c r="L529" s="342">
        <v>0</v>
      </c>
      <c r="M529" s="343">
        <v>2018</v>
      </c>
      <c r="N529" s="344">
        <v>4248465.75</v>
      </c>
      <c r="O529" s="345">
        <v>43125</v>
      </c>
      <c r="P529" s="345">
        <v>43125</v>
      </c>
    </row>
    <row r="530" spans="1:16" ht="14.25">
      <c r="A530" s="339">
        <v>2018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1"/>
        <v>0</v>
      </c>
      <c r="L530" s="342">
        <v>2</v>
      </c>
      <c r="M530" s="343">
        <v>2020</v>
      </c>
      <c r="N530" s="344">
        <v>617916.14</v>
      </c>
      <c r="O530" s="345">
        <v>43125</v>
      </c>
      <c r="P530" s="345">
        <v>43125</v>
      </c>
    </row>
    <row r="531" spans="1:16" ht="14.25">
      <c r="A531" s="339">
        <v>2018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1"/>
        <v>0</v>
      </c>
      <c r="L531" s="342">
        <v>5</v>
      </c>
      <c r="M531" s="343">
        <v>2023</v>
      </c>
      <c r="N531" s="344">
        <v>0</v>
      </c>
      <c r="O531" s="345">
        <v>43125</v>
      </c>
      <c r="P531" s="345">
        <v>43125</v>
      </c>
    </row>
    <row r="532" spans="1:16" ht="14.25">
      <c r="A532" s="339">
        <v>2018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1"/>
        <v>0</v>
      </c>
      <c r="L532" s="342">
        <v>6</v>
      </c>
      <c r="M532" s="343">
        <v>2024</v>
      </c>
      <c r="N532" s="344">
        <v>0</v>
      </c>
      <c r="O532" s="345">
        <v>43125</v>
      </c>
      <c r="P532" s="345">
        <v>43125</v>
      </c>
    </row>
    <row r="533" spans="1:16" ht="14.25">
      <c r="A533" s="339">
        <v>2018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1"/>
        <v>0</v>
      </c>
      <c r="L533" s="342">
        <v>3</v>
      </c>
      <c r="M533" s="343">
        <v>2021</v>
      </c>
      <c r="N533" s="344">
        <v>2977629.81</v>
      </c>
      <c r="O533" s="345">
        <v>43125</v>
      </c>
      <c r="P533" s="345">
        <v>43125</v>
      </c>
    </row>
    <row r="534" spans="1:16" ht="14.25">
      <c r="A534" s="339">
        <v>2018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1"/>
        <v>0</v>
      </c>
      <c r="L534" s="342">
        <v>4</v>
      </c>
      <c r="M534" s="343">
        <v>2022</v>
      </c>
      <c r="N534" s="344">
        <v>0</v>
      </c>
      <c r="O534" s="345">
        <v>43125</v>
      </c>
      <c r="P534" s="345">
        <v>43125</v>
      </c>
    </row>
    <row r="535" spans="1:16" ht="14.25">
      <c r="A535" s="339">
        <v>2018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1"/>
        <v>0</v>
      </c>
      <c r="L535" s="342">
        <v>7</v>
      </c>
      <c r="M535" s="343">
        <v>2025</v>
      </c>
      <c r="N535" s="344">
        <v>130000</v>
      </c>
      <c r="O535" s="345">
        <v>43125</v>
      </c>
      <c r="P535" s="345">
        <v>43125</v>
      </c>
    </row>
    <row r="536" spans="1:16" ht="14.25">
      <c r="A536" s="339">
        <v>2018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1"/>
        <v>0</v>
      </c>
      <c r="L536" s="342">
        <v>5</v>
      </c>
      <c r="M536" s="343">
        <v>2023</v>
      </c>
      <c r="N536" s="344">
        <v>220000</v>
      </c>
      <c r="O536" s="345">
        <v>43125</v>
      </c>
      <c r="P536" s="345">
        <v>43125</v>
      </c>
    </row>
    <row r="537" spans="1:16" ht="14.25">
      <c r="A537" s="339">
        <v>2018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1"/>
        <v>0</v>
      </c>
      <c r="L537" s="342">
        <v>6</v>
      </c>
      <c r="M537" s="343">
        <v>2024</v>
      </c>
      <c r="N537" s="344">
        <v>180000</v>
      </c>
      <c r="O537" s="345">
        <v>43125</v>
      </c>
      <c r="P537" s="345">
        <v>43125</v>
      </c>
    </row>
    <row r="538" spans="1:16" ht="14.25">
      <c r="A538" s="339">
        <v>2018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1"/>
        <v>0</v>
      </c>
      <c r="L538" s="342">
        <v>2</v>
      </c>
      <c r="M538" s="343">
        <v>2020</v>
      </c>
      <c r="N538" s="344">
        <v>350000</v>
      </c>
      <c r="O538" s="345">
        <v>43125</v>
      </c>
      <c r="P538" s="345">
        <v>43125</v>
      </c>
    </row>
    <row r="539" spans="1:16" ht="14.25">
      <c r="A539" s="339">
        <v>2018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1"/>
        <v>0</v>
      </c>
      <c r="L539" s="342">
        <v>3</v>
      </c>
      <c r="M539" s="343">
        <v>2021</v>
      </c>
      <c r="N539" s="344">
        <v>310000</v>
      </c>
      <c r="O539" s="345">
        <v>43125</v>
      </c>
      <c r="P539" s="345">
        <v>43125</v>
      </c>
    </row>
    <row r="540" spans="1:16" ht="14.25">
      <c r="A540" s="339">
        <v>2018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1"/>
        <v>0</v>
      </c>
      <c r="L540" s="342">
        <v>4</v>
      </c>
      <c r="M540" s="343">
        <v>2022</v>
      </c>
      <c r="N540" s="344">
        <v>270000</v>
      </c>
      <c r="O540" s="345">
        <v>43125</v>
      </c>
      <c r="P540" s="345">
        <v>43125</v>
      </c>
    </row>
    <row r="541" spans="1:16" ht="14.25">
      <c r="A541" s="339">
        <v>2018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1"/>
        <v>0</v>
      </c>
      <c r="L541" s="342">
        <v>8</v>
      </c>
      <c r="M541" s="343">
        <v>2026</v>
      </c>
      <c r="N541" s="344">
        <v>90000</v>
      </c>
      <c r="O541" s="345">
        <v>43125</v>
      </c>
      <c r="P541" s="345">
        <v>43125</v>
      </c>
    </row>
    <row r="542" spans="1:16" ht="14.25">
      <c r="A542" s="339">
        <v>2018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1"/>
        <v>0</v>
      </c>
      <c r="L542" s="342">
        <v>0</v>
      </c>
      <c r="M542" s="343">
        <v>2018</v>
      </c>
      <c r="N542" s="344">
        <v>430000</v>
      </c>
      <c r="O542" s="345">
        <v>43125</v>
      </c>
      <c r="P542" s="345">
        <v>43125</v>
      </c>
    </row>
    <row r="543" spans="1:16" ht="14.25">
      <c r="A543" s="339">
        <v>2018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1"/>
        <v>0</v>
      </c>
      <c r="L543" s="342">
        <v>1</v>
      </c>
      <c r="M543" s="343">
        <v>2019</v>
      </c>
      <c r="N543" s="344">
        <v>400000</v>
      </c>
      <c r="O543" s="345">
        <v>43125</v>
      </c>
      <c r="P543" s="345">
        <v>43125</v>
      </c>
    </row>
    <row r="544" spans="1:16" ht="14.25">
      <c r="A544" s="339">
        <v>2018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1"/>
        <v>0</v>
      </c>
      <c r="L544" s="342">
        <v>1</v>
      </c>
      <c r="M544" s="343">
        <v>2019</v>
      </c>
      <c r="N544" s="344">
        <v>20300</v>
      </c>
      <c r="O544" s="345">
        <v>43125</v>
      </c>
      <c r="P544" s="345">
        <v>43125</v>
      </c>
    </row>
    <row r="545" spans="1:16" ht="14.25">
      <c r="A545" s="339">
        <v>2018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1"/>
        <v>0</v>
      </c>
      <c r="L545" s="342">
        <v>2</v>
      </c>
      <c r="M545" s="343">
        <v>2020</v>
      </c>
      <c r="N545" s="344">
        <v>20300</v>
      </c>
      <c r="O545" s="345">
        <v>43125</v>
      </c>
      <c r="P545" s="345">
        <v>43125</v>
      </c>
    </row>
    <row r="546" spans="1:16" ht="14.25">
      <c r="A546" s="339">
        <v>2018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1"/>
        <v>0</v>
      </c>
      <c r="L546" s="342">
        <v>3</v>
      </c>
      <c r="M546" s="343">
        <v>2021</v>
      </c>
      <c r="N546" s="344">
        <v>30140</v>
      </c>
      <c r="O546" s="345">
        <v>43125</v>
      </c>
      <c r="P546" s="345">
        <v>43125</v>
      </c>
    </row>
    <row r="547" spans="1:16" ht="14.25">
      <c r="A547" s="339">
        <v>2018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1"/>
        <v>0</v>
      </c>
      <c r="L547" s="342">
        <v>0</v>
      </c>
      <c r="M547" s="343">
        <v>2018</v>
      </c>
      <c r="N547" s="344">
        <v>130873.56</v>
      </c>
      <c r="O547" s="345">
        <v>43125</v>
      </c>
      <c r="P547" s="345">
        <v>43125</v>
      </c>
    </row>
    <row r="548" spans="1:16" ht="14.25">
      <c r="A548" s="339">
        <v>2018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1"/>
        <v>0</v>
      </c>
      <c r="L548" s="342">
        <v>6</v>
      </c>
      <c r="M548" s="343">
        <v>2024</v>
      </c>
      <c r="N548" s="344">
        <v>0</v>
      </c>
      <c r="O548" s="345">
        <v>43125</v>
      </c>
      <c r="P548" s="345">
        <v>43125</v>
      </c>
    </row>
    <row r="549" spans="1:16" ht="14.25">
      <c r="A549" s="339">
        <v>2018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1"/>
        <v>0</v>
      </c>
      <c r="L549" s="342">
        <v>4</v>
      </c>
      <c r="M549" s="343">
        <v>2022</v>
      </c>
      <c r="N549" s="344">
        <v>0</v>
      </c>
      <c r="O549" s="345">
        <v>43125</v>
      </c>
      <c r="P549" s="345">
        <v>43125</v>
      </c>
    </row>
    <row r="550" spans="1:16" ht="14.25">
      <c r="A550" s="339">
        <v>2018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1"/>
        <v>0</v>
      </c>
      <c r="L550" s="342">
        <v>5</v>
      </c>
      <c r="M550" s="343">
        <v>2023</v>
      </c>
      <c r="N550" s="344">
        <v>0</v>
      </c>
      <c r="O550" s="345">
        <v>43125</v>
      </c>
      <c r="P550" s="345">
        <v>43125</v>
      </c>
    </row>
    <row r="551" spans="1:16" ht="14.25">
      <c r="A551" s="339">
        <v>2018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1"/>
        <v>0</v>
      </c>
      <c r="L551" s="342">
        <v>8</v>
      </c>
      <c r="M551" s="343">
        <v>2026</v>
      </c>
      <c r="N551" s="344">
        <v>0</v>
      </c>
      <c r="O551" s="345">
        <v>43125</v>
      </c>
      <c r="P551" s="345">
        <v>43125</v>
      </c>
    </row>
    <row r="552" spans="1:16" ht="14.25">
      <c r="A552" s="339">
        <v>2018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1"/>
        <v>0</v>
      </c>
      <c r="L552" s="342">
        <v>7</v>
      </c>
      <c r="M552" s="343">
        <v>2025</v>
      </c>
      <c r="N552" s="344">
        <v>0</v>
      </c>
      <c r="O552" s="345">
        <v>43125</v>
      </c>
      <c r="P552" s="345">
        <v>43125</v>
      </c>
    </row>
    <row r="553" spans="1:16" ht="14.25">
      <c r="A553" s="339">
        <v>2018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1"/>
        <v>0</v>
      </c>
      <c r="L553" s="342">
        <v>5</v>
      </c>
      <c r="M553" s="343">
        <v>2023</v>
      </c>
      <c r="N553" s="344">
        <v>4982000</v>
      </c>
      <c r="O553" s="345">
        <v>43125</v>
      </c>
      <c r="P553" s="345">
        <v>43125</v>
      </c>
    </row>
    <row r="554" spans="1:16" ht="14.25">
      <c r="A554" s="339">
        <v>2018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1"/>
        <v>0</v>
      </c>
      <c r="L554" s="342">
        <v>3</v>
      </c>
      <c r="M554" s="343">
        <v>2021</v>
      </c>
      <c r="N554" s="344">
        <v>6167625.81</v>
      </c>
      <c r="O554" s="345">
        <v>43125</v>
      </c>
      <c r="P554" s="345">
        <v>43125</v>
      </c>
    </row>
    <row r="555" spans="1:16" ht="14.25">
      <c r="A555" s="339">
        <v>2018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1"/>
        <v>0</v>
      </c>
      <c r="L555" s="342">
        <v>6</v>
      </c>
      <c r="M555" s="343">
        <v>2024</v>
      </c>
      <c r="N555" s="344">
        <v>7150000</v>
      </c>
      <c r="O555" s="345">
        <v>43125</v>
      </c>
      <c r="P555" s="345">
        <v>43125</v>
      </c>
    </row>
    <row r="556" spans="1:16" ht="14.25">
      <c r="A556" s="339">
        <v>2018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1"/>
        <v>0</v>
      </c>
      <c r="L556" s="342">
        <v>2</v>
      </c>
      <c r="M556" s="343">
        <v>2020</v>
      </c>
      <c r="N556" s="344">
        <v>2807912.14</v>
      </c>
      <c r="O556" s="345">
        <v>43125</v>
      </c>
      <c r="P556" s="345">
        <v>43125</v>
      </c>
    </row>
    <row r="557" spans="1:16" ht="14.25">
      <c r="A557" s="339">
        <v>2018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1"/>
        <v>0</v>
      </c>
      <c r="L557" s="342">
        <v>0</v>
      </c>
      <c r="M557" s="343">
        <v>2018</v>
      </c>
      <c r="N557" s="344">
        <v>14337233.13</v>
      </c>
      <c r="O557" s="345">
        <v>43125</v>
      </c>
      <c r="P557" s="345">
        <v>43125</v>
      </c>
    </row>
    <row r="558" spans="1:16" ht="14.25">
      <c r="A558" s="339">
        <v>2018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1"/>
        <v>0</v>
      </c>
      <c r="L558" s="342">
        <v>7</v>
      </c>
      <c r="M558" s="343">
        <v>2025</v>
      </c>
      <c r="N558" s="344">
        <v>8314683.21</v>
      </c>
      <c r="O558" s="345">
        <v>43125</v>
      </c>
      <c r="P558" s="345">
        <v>43125</v>
      </c>
    </row>
    <row r="559" spans="1:16" ht="14.25">
      <c r="A559" s="339">
        <v>2018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1"/>
        <v>0</v>
      </c>
      <c r="L559" s="342">
        <v>4</v>
      </c>
      <c r="M559" s="343">
        <v>2022</v>
      </c>
      <c r="N559" s="344">
        <v>4149996</v>
      </c>
      <c r="O559" s="345">
        <v>43125</v>
      </c>
      <c r="P559" s="345">
        <v>43125</v>
      </c>
    </row>
    <row r="560" spans="1:16" ht="14.25">
      <c r="A560" s="339">
        <v>2018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1"/>
        <v>0</v>
      </c>
      <c r="L560" s="342">
        <v>8</v>
      </c>
      <c r="M560" s="343">
        <v>2026</v>
      </c>
      <c r="N560" s="344">
        <v>9201658.32</v>
      </c>
      <c r="O560" s="345">
        <v>43125</v>
      </c>
      <c r="P560" s="345">
        <v>43125</v>
      </c>
    </row>
    <row r="561" spans="1:16" ht="14.25">
      <c r="A561" s="339">
        <v>2018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1"/>
        <v>0</v>
      </c>
      <c r="L561" s="342">
        <v>1</v>
      </c>
      <c r="M561" s="343">
        <v>2019</v>
      </c>
      <c r="N561" s="344">
        <v>7893989.15</v>
      </c>
      <c r="O561" s="345">
        <v>43125</v>
      </c>
      <c r="P561" s="345">
        <v>43125</v>
      </c>
    </row>
    <row r="562" spans="1:16" ht="14.25">
      <c r="A562" s="339">
        <v>2018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2" ref="K562:K633">TRUE</f>
        <v>1</v>
      </c>
      <c r="L562" s="342">
        <v>5</v>
      </c>
      <c r="M562" s="343">
        <v>2023</v>
      </c>
      <c r="N562" s="344">
        <v>0</v>
      </c>
      <c r="O562" s="345">
        <v>43125</v>
      </c>
      <c r="P562" s="345">
        <v>43125</v>
      </c>
    </row>
    <row r="563" spans="1:16" ht="14.25">
      <c r="A563" s="339">
        <v>2018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2"/>
        <v>1</v>
      </c>
      <c r="L563" s="342">
        <v>0</v>
      </c>
      <c r="M563" s="343">
        <v>2018</v>
      </c>
      <c r="N563" s="344">
        <v>0</v>
      </c>
      <c r="O563" s="345">
        <v>43125</v>
      </c>
      <c r="P563" s="345">
        <v>43125</v>
      </c>
    </row>
    <row r="564" spans="1:16" ht="14.25">
      <c r="A564" s="339">
        <v>2018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2"/>
        <v>1</v>
      </c>
      <c r="L564" s="342">
        <v>8</v>
      </c>
      <c r="M564" s="343">
        <v>2026</v>
      </c>
      <c r="N564" s="344">
        <v>0</v>
      </c>
      <c r="O564" s="345">
        <v>43125</v>
      </c>
      <c r="P564" s="345">
        <v>43125</v>
      </c>
    </row>
    <row r="565" spans="1:16" ht="14.25">
      <c r="A565" s="339">
        <v>2018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2"/>
        <v>1</v>
      </c>
      <c r="L565" s="342">
        <v>2</v>
      </c>
      <c r="M565" s="343">
        <v>2020</v>
      </c>
      <c r="N565" s="344">
        <v>0</v>
      </c>
      <c r="O565" s="345">
        <v>43125</v>
      </c>
      <c r="P565" s="345">
        <v>43125</v>
      </c>
    </row>
    <row r="566" spans="1:16" ht="14.25">
      <c r="A566" s="339">
        <v>2018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2"/>
        <v>1</v>
      </c>
      <c r="L566" s="342">
        <v>6</v>
      </c>
      <c r="M566" s="343">
        <v>2024</v>
      </c>
      <c r="N566" s="344">
        <v>0</v>
      </c>
      <c r="O566" s="345">
        <v>43125</v>
      </c>
      <c r="P566" s="345">
        <v>43125</v>
      </c>
    </row>
    <row r="567" spans="1:16" ht="14.25">
      <c r="A567" s="339">
        <v>2018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2"/>
        <v>1</v>
      </c>
      <c r="L567" s="342">
        <v>1</v>
      </c>
      <c r="M567" s="343">
        <v>2019</v>
      </c>
      <c r="N567" s="344">
        <v>0</v>
      </c>
      <c r="O567" s="345">
        <v>43125</v>
      </c>
      <c r="P567" s="345">
        <v>43125</v>
      </c>
    </row>
    <row r="568" spans="1:16" ht="14.25">
      <c r="A568" s="339">
        <v>2018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2"/>
        <v>1</v>
      </c>
      <c r="L568" s="342">
        <v>7</v>
      </c>
      <c r="M568" s="343">
        <v>2025</v>
      </c>
      <c r="N568" s="344">
        <v>0</v>
      </c>
      <c r="O568" s="345">
        <v>43125</v>
      </c>
      <c r="P568" s="345">
        <v>43125</v>
      </c>
    </row>
    <row r="569" spans="1:16" ht="14.25">
      <c r="A569" s="339">
        <v>2018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2"/>
        <v>1</v>
      </c>
      <c r="L569" s="342">
        <v>4</v>
      </c>
      <c r="M569" s="343">
        <v>2022</v>
      </c>
      <c r="N569" s="344">
        <v>0</v>
      </c>
      <c r="O569" s="345">
        <v>43125</v>
      </c>
      <c r="P569" s="345">
        <v>43125</v>
      </c>
    </row>
    <row r="570" spans="1:16" ht="14.25">
      <c r="A570" s="339">
        <v>2018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2"/>
        <v>1</v>
      </c>
      <c r="L570" s="342">
        <v>3</v>
      </c>
      <c r="M570" s="343">
        <v>2021</v>
      </c>
      <c r="N570" s="344">
        <v>0</v>
      </c>
      <c r="O570" s="345">
        <v>43125</v>
      </c>
      <c r="P570" s="345">
        <v>43125</v>
      </c>
    </row>
    <row r="571" spans="1:16" ht="14.25">
      <c r="A571" s="339">
        <v>2018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2"/>
        <v>1</v>
      </c>
      <c r="L571" s="342">
        <v>6</v>
      </c>
      <c r="M571" s="343">
        <v>2024</v>
      </c>
      <c r="N571" s="344">
        <v>0</v>
      </c>
      <c r="O571" s="345">
        <v>43125</v>
      </c>
      <c r="P571" s="345">
        <v>43125</v>
      </c>
    </row>
    <row r="572" spans="1:16" ht="14.25">
      <c r="A572" s="339">
        <v>2018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2"/>
        <v>1</v>
      </c>
      <c r="L572" s="342">
        <v>7</v>
      </c>
      <c r="M572" s="343">
        <v>2025</v>
      </c>
      <c r="N572" s="344">
        <v>0</v>
      </c>
      <c r="O572" s="345">
        <v>43125</v>
      </c>
      <c r="P572" s="345">
        <v>43125</v>
      </c>
    </row>
    <row r="573" spans="1:16" ht="14.25">
      <c r="A573" s="339">
        <v>2018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2"/>
        <v>1</v>
      </c>
      <c r="L573" s="342">
        <v>8</v>
      </c>
      <c r="M573" s="343">
        <v>2026</v>
      </c>
      <c r="N573" s="344">
        <v>0</v>
      </c>
      <c r="O573" s="345">
        <v>43125</v>
      </c>
      <c r="P573" s="345">
        <v>43125</v>
      </c>
    </row>
    <row r="574" spans="1:16" ht="14.25">
      <c r="A574" s="339">
        <v>2018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2"/>
        <v>1</v>
      </c>
      <c r="L574" s="342">
        <v>1</v>
      </c>
      <c r="M574" s="343">
        <v>2019</v>
      </c>
      <c r="N574" s="344">
        <v>0</v>
      </c>
      <c r="O574" s="345">
        <v>43125</v>
      </c>
      <c r="P574" s="345">
        <v>43125</v>
      </c>
    </row>
    <row r="575" spans="1:16" ht="14.25">
      <c r="A575" s="339">
        <v>2018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2"/>
        <v>1</v>
      </c>
      <c r="L575" s="342">
        <v>2</v>
      </c>
      <c r="M575" s="343">
        <v>2020</v>
      </c>
      <c r="N575" s="344">
        <v>0</v>
      </c>
      <c r="O575" s="345">
        <v>43125</v>
      </c>
      <c r="P575" s="345">
        <v>43125</v>
      </c>
    </row>
    <row r="576" spans="1:16" ht="14.25">
      <c r="A576" s="339">
        <v>2018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2"/>
        <v>1</v>
      </c>
      <c r="L576" s="342">
        <v>3</v>
      </c>
      <c r="M576" s="343">
        <v>2021</v>
      </c>
      <c r="N576" s="344">
        <v>0</v>
      </c>
      <c r="O576" s="345">
        <v>43125</v>
      </c>
      <c r="P576" s="345">
        <v>43125</v>
      </c>
    </row>
    <row r="577" spans="1:16" ht="14.25">
      <c r="A577" s="339">
        <v>2018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2"/>
        <v>1</v>
      </c>
      <c r="L577" s="342">
        <v>4</v>
      </c>
      <c r="M577" s="343">
        <v>2022</v>
      </c>
      <c r="N577" s="344">
        <v>0</v>
      </c>
      <c r="O577" s="345">
        <v>43125</v>
      </c>
      <c r="P577" s="345">
        <v>43125</v>
      </c>
    </row>
    <row r="578" spans="1:16" ht="14.25">
      <c r="A578" s="339">
        <v>2018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2"/>
        <v>1</v>
      </c>
      <c r="L578" s="342">
        <v>0</v>
      </c>
      <c r="M578" s="343">
        <v>2018</v>
      </c>
      <c r="N578" s="344">
        <v>0</v>
      </c>
      <c r="O578" s="345">
        <v>43125</v>
      </c>
      <c r="P578" s="345">
        <v>43125</v>
      </c>
    </row>
    <row r="579" spans="1:16" ht="14.25">
      <c r="A579" s="339">
        <v>2018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2"/>
        <v>1</v>
      </c>
      <c r="L579" s="342">
        <v>5</v>
      </c>
      <c r="M579" s="343">
        <v>2023</v>
      </c>
      <c r="N579" s="344">
        <v>0</v>
      </c>
      <c r="O579" s="345">
        <v>43125</v>
      </c>
      <c r="P579" s="345">
        <v>43125</v>
      </c>
    </row>
    <row r="580" spans="1:16" ht="14.25">
      <c r="A580" s="339">
        <v>2018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2"/>
        <v>1</v>
      </c>
      <c r="L580" s="342">
        <v>5</v>
      </c>
      <c r="M580" s="343">
        <v>2023</v>
      </c>
      <c r="N580" s="344">
        <v>124000</v>
      </c>
      <c r="O580" s="345">
        <v>43125</v>
      </c>
      <c r="P580" s="345">
        <v>43125</v>
      </c>
    </row>
    <row r="581" spans="1:16" ht="14.25">
      <c r="A581" s="339">
        <v>2018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2"/>
        <v>1</v>
      </c>
      <c r="L581" s="342">
        <v>3</v>
      </c>
      <c r="M581" s="343">
        <v>2021</v>
      </c>
      <c r="N581" s="344">
        <v>120000</v>
      </c>
      <c r="O581" s="345">
        <v>43125</v>
      </c>
      <c r="P581" s="345">
        <v>43125</v>
      </c>
    </row>
    <row r="582" spans="1:16" ht="14.25">
      <c r="A582" s="339">
        <v>2018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2"/>
        <v>1</v>
      </c>
      <c r="L582" s="342">
        <v>8</v>
      </c>
      <c r="M582" s="343">
        <v>2026</v>
      </c>
      <c r="N582" s="344">
        <v>130000</v>
      </c>
      <c r="O582" s="345">
        <v>43125</v>
      </c>
      <c r="P582" s="345">
        <v>43125</v>
      </c>
    </row>
    <row r="583" spans="1:16" ht="14.25">
      <c r="A583" s="339">
        <v>2018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2"/>
        <v>1</v>
      </c>
      <c r="L583" s="342">
        <v>0</v>
      </c>
      <c r="M583" s="343">
        <v>2018</v>
      </c>
      <c r="N583" s="344">
        <v>116000</v>
      </c>
      <c r="O583" s="345">
        <v>43125</v>
      </c>
      <c r="P583" s="345">
        <v>43125</v>
      </c>
    </row>
    <row r="584" spans="1:16" ht="14.25">
      <c r="A584" s="339">
        <v>2018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2"/>
        <v>1</v>
      </c>
      <c r="L584" s="342">
        <v>1</v>
      </c>
      <c r="M584" s="343">
        <v>2019</v>
      </c>
      <c r="N584" s="344">
        <v>117000</v>
      </c>
      <c r="O584" s="345">
        <v>43125</v>
      </c>
      <c r="P584" s="345">
        <v>43125</v>
      </c>
    </row>
    <row r="585" spans="1:16" ht="14.25">
      <c r="A585" s="339">
        <v>2018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2"/>
        <v>1</v>
      </c>
      <c r="L585" s="342">
        <v>2</v>
      </c>
      <c r="M585" s="343">
        <v>2020</v>
      </c>
      <c r="N585" s="344">
        <v>119000</v>
      </c>
      <c r="O585" s="345">
        <v>43125</v>
      </c>
      <c r="P585" s="345">
        <v>43125</v>
      </c>
    </row>
    <row r="586" spans="1:16" ht="14.25">
      <c r="A586" s="339">
        <v>2018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2"/>
        <v>1</v>
      </c>
      <c r="L586" s="342">
        <v>6</v>
      </c>
      <c r="M586" s="343">
        <v>2024</v>
      </c>
      <c r="N586" s="344">
        <v>126000</v>
      </c>
      <c r="O586" s="345">
        <v>43125</v>
      </c>
      <c r="P586" s="345">
        <v>43125</v>
      </c>
    </row>
    <row r="587" spans="1:16" ht="14.25">
      <c r="A587" s="339">
        <v>2018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2"/>
        <v>1</v>
      </c>
      <c r="L587" s="342">
        <v>4</v>
      </c>
      <c r="M587" s="343">
        <v>2022</v>
      </c>
      <c r="N587" s="344">
        <v>122000</v>
      </c>
      <c r="O587" s="345">
        <v>43125</v>
      </c>
      <c r="P587" s="345">
        <v>43125</v>
      </c>
    </row>
    <row r="588" spans="1:16" ht="14.25">
      <c r="A588" s="339">
        <v>2018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2"/>
        <v>1</v>
      </c>
      <c r="L588" s="342">
        <v>7</v>
      </c>
      <c r="M588" s="343">
        <v>2025</v>
      </c>
      <c r="N588" s="344">
        <v>128000</v>
      </c>
      <c r="O588" s="345">
        <v>43125</v>
      </c>
      <c r="P588" s="345">
        <v>43125</v>
      </c>
    </row>
    <row r="589" spans="1:16" ht="14.25">
      <c r="A589" s="339">
        <v>2018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2"/>
        <v>1</v>
      </c>
      <c r="L589" s="342">
        <v>8</v>
      </c>
      <c r="M589" s="343">
        <v>2026</v>
      </c>
      <c r="N589" s="344">
        <v>0</v>
      </c>
      <c r="O589" s="345">
        <v>43125</v>
      </c>
      <c r="P589" s="345">
        <v>43125</v>
      </c>
    </row>
    <row r="590" spans="1:16" ht="14.25">
      <c r="A590" s="339">
        <v>2018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2"/>
        <v>1</v>
      </c>
      <c r="L590" s="342">
        <v>2</v>
      </c>
      <c r="M590" s="343">
        <v>2020</v>
      </c>
      <c r="N590" s="344">
        <v>0</v>
      </c>
      <c r="O590" s="345">
        <v>43125</v>
      </c>
      <c r="P590" s="345">
        <v>43125</v>
      </c>
    </row>
    <row r="591" spans="1:16" ht="14.25">
      <c r="A591" s="339">
        <v>2018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2"/>
        <v>1</v>
      </c>
      <c r="L591" s="342">
        <v>3</v>
      </c>
      <c r="M591" s="343">
        <v>2021</v>
      </c>
      <c r="N591" s="344">
        <v>0</v>
      </c>
      <c r="O591" s="345">
        <v>43125</v>
      </c>
      <c r="P591" s="345">
        <v>43125</v>
      </c>
    </row>
    <row r="592" spans="1:16" ht="14.25">
      <c r="A592" s="339">
        <v>2018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2"/>
        <v>1</v>
      </c>
      <c r="L592" s="342">
        <v>4</v>
      </c>
      <c r="M592" s="343">
        <v>2022</v>
      </c>
      <c r="N592" s="344">
        <v>0</v>
      </c>
      <c r="O592" s="345">
        <v>43125</v>
      </c>
      <c r="P592" s="345">
        <v>43125</v>
      </c>
    </row>
    <row r="593" spans="1:16" ht="14.25">
      <c r="A593" s="339">
        <v>2018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2"/>
        <v>1</v>
      </c>
      <c r="L593" s="342">
        <v>5</v>
      </c>
      <c r="M593" s="343">
        <v>2023</v>
      </c>
      <c r="N593" s="344">
        <v>0</v>
      </c>
      <c r="O593" s="345">
        <v>43125</v>
      </c>
      <c r="P593" s="345">
        <v>43125</v>
      </c>
    </row>
    <row r="594" spans="1:16" ht="14.25">
      <c r="A594" s="339">
        <v>2018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2"/>
        <v>1</v>
      </c>
      <c r="L594" s="342">
        <v>0</v>
      </c>
      <c r="M594" s="343">
        <v>2018</v>
      </c>
      <c r="N594" s="344">
        <v>0</v>
      </c>
      <c r="O594" s="345">
        <v>43125</v>
      </c>
      <c r="P594" s="345">
        <v>43125</v>
      </c>
    </row>
    <row r="595" spans="1:16" ht="14.25">
      <c r="A595" s="339">
        <v>2018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2"/>
        <v>1</v>
      </c>
      <c r="L595" s="342">
        <v>7</v>
      </c>
      <c r="M595" s="343">
        <v>2025</v>
      </c>
      <c r="N595" s="344">
        <v>0</v>
      </c>
      <c r="O595" s="345">
        <v>43125</v>
      </c>
      <c r="P595" s="345">
        <v>43125</v>
      </c>
    </row>
    <row r="596" spans="1:16" ht="14.25">
      <c r="A596" s="339">
        <v>2018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2"/>
        <v>1</v>
      </c>
      <c r="L596" s="342">
        <v>1</v>
      </c>
      <c r="M596" s="343">
        <v>2019</v>
      </c>
      <c r="N596" s="344">
        <v>0</v>
      </c>
      <c r="O596" s="345">
        <v>43125</v>
      </c>
      <c r="P596" s="345">
        <v>43125</v>
      </c>
    </row>
    <row r="597" spans="1:16" ht="14.25">
      <c r="A597" s="339">
        <v>2018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2"/>
        <v>1</v>
      </c>
      <c r="L597" s="342">
        <v>6</v>
      </c>
      <c r="M597" s="343">
        <v>2024</v>
      </c>
      <c r="N597" s="344">
        <v>0</v>
      </c>
      <c r="O597" s="345">
        <v>43125</v>
      </c>
      <c r="P597" s="345">
        <v>43125</v>
      </c>
    </row>
    <row r="598" spans="1:16" ht="14.25">
      <c r="A598" s="339">
        <v>2018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2"/>
        <v>1</v>
      </c>
      <c r="L598" s="342">
        <v>7</v>
      </c>
      <c r="M598" s="343">
        <v>2025</v>
      </c>
      <c r="N598" s="344">
        <v>0</v>
      </c>
      <c r="O598" s="345">
        <v>43125</v>
      </c>
      <c r="P598" s="345">
        <v>43125</v>
      </c>
    </row>
    <row r="599" spans="1:16" ht="14.25">
      <c r="A599" s="339">
        <v>2018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2"/>
        <v>1</v>
      </c>
      <c r="L599" s="342">
        <v>6</v>
      </c>
      <c r="M599" s="343">
        <v>2024</v>
      </c>
      <c r="N599" s="344">
        <v>0</v>
      </c>
      <c r="O599" s="345">
        <v>43125</v>
      </c>
      <c r="P599" s="345">
        <v>43125</v>
      </c>
    </row>
    <row r="600" spans="1:16" ht="14.25">
      <c r="A600" s="339">
        <v>2018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2"/>
        <v>1</v>
      </c>
      <c r="L600" s="342">
        <v>3</v>
      </c>
      <c r="M600" s="343">
        <v>2021</v>
      </c>
      <c r="N600" s="344">
        <v>0</v>
      </c>
      <c r="O600" s="345">
        <v>43125</v>
      </c>
      <c r="P600" s="345">
        <v>43125</v>
      </c>
    </row>
    <row r="601" spans="1:16" ht="14.25">
      <c r="A601" s="339">
        <v>2018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2"/>
        <v>1</v>
      </c>
      <c r="L601" s="342">
        <v>0</v>
      </c>
      <c r="M601" s="343">
        <v>2018</v>
      </c>
      <c r="N601" s="344">
        <v>0</v>
      </c>
      <c r="O601" s="345">
        <v>43125</v>
      </c>
      <c r="P601" s="345">
        <v>43125</v>
      </c>
    </row>
    <row r="602" spans="1:16" ht="14.25">
      <c r="A602" s="339">
        <v>2018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2"/>
        <v>1</v>
      </c>
      <c r="L602" s="342">
        <v>4</v>
      </c>
      <c r="M602" s="343">
        <v>2022</v>
      </c>
      <c r="N602" s="344">
        <v>0</v>
      </c>
      <c r="O602" s="345">
        <v>43125</v>
      </c>
      <c r="P602" s="345">
        <v>43125</v>
      </c>
    </row>
    <row r="603" spans="1:16" ht="14.25">
      <c r="A603" s="339">
        <v>2018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2"/>
        <v>1</v>
      </c>
      <c r="L603" s="342">
        <v>2</v>
      </c>
      <c r="M603" s="343">
        <v>2020</v>
      </c>
      <c r="N603" s="344">
        <v>0</v>
      </c>
      <c r="O603" s="345">
        <v>43125</v>
      </c>
      <c r="P603" s="345">
        <v>43125</v>
      </c>
    </row>
    <row r="604" spans="1:16" ht="14.25">
      <c r="A604" s="339">
        <v>2018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2"/>
        <v>1</v>
      </c>
      <c r="L604" s="342">
        <v>1</v>
      </c>
      <c r="M604" s="343">
        <v>2019</v>
      </c>
      <c r="N604" s="344">
        <v>0</v>
      </c>
      <c r="O604" s="345">
        <v>43125</v>
      </c>
      <c r="P604" s="345">
        <v>43125</v>
      </c>
    </row>
    <row r="605" spans="1:16" ht="14.25">
      <c r="A605" s="339">
        <v>2018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2"/>
        <v>1</v>
      </c>
      <c r="L605" s="342">
        <v>8</v>
      </c>
      <c r="M605" s="343">
        <v>2026</v>
      </c>
      <c r="N605" s="344">
        <v>0</v>
      </c>
      <c r="O605" s="345">
        <v>43125</v>
      </c>
      <c r="P605" s="345">
        <v>43125</v>
      </c>
    </row>
    <row r="606" spans="1:16" ht="14.25">
      <c r="A606" s="339">
        <v>2018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2"/>
        <v>1</v>
      </c>
      <c r="L606" s="342">
        <v>5</v>
      </c>
      <c r="M606" s="343">
        <v>2023</v>
      </c>
      <c r="N606" s="344">
        <v>0</v>
      </c>
      <c r="O606" s="345">
        <v>43125</v>
      </c>
      <c r="P606" s="345">
        <v>43125</v>
      </c>
    </row>
    <row r="607" spans="1:16" ht="14.25">
      <c r="A607" s="339">
        <v>2018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2"/>
        <v>1</v>
      </c>
      <c r="L607" s="342">
        <v>8</v>
      </c>
      <c r="M607" s="343">
        <v>2026</v>
      </c>
      <c r="N607" s="344">
        <v>0</v>
      </c>
      <c r="O607" s="345">
        <v>43125</v>
      </c>
      <c r="P607" s="345">
        <v>43125</v>
      </c>
    </row>
    <row r="608" spans="1:16" ht="14.25">
      <c r="A608" s="339">
        <v>2018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2"/>
        <v>1</v>
      </c>
      <c r="L608" s="342">
        <v>6</v>
      </c>
      <c r="M608" s="343">
        <v>2024</v>
      </c>
      <c r="N608" s="344">
        <v>0</v>
      </c>
      <c r="O608" s="345">
        <v>43125</v>
      </c>
      <c r="P608" s="345">
        <v>43125</v>
      </c>
    </row>
    <row r="609" spans="1:16" ht="14.25">
      <c r="A609" s="339">
        <v>2018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2"/>
        <v>1</v>
      </c>
      <c r="L609" s="342">
        <v>5</v>
      </c>
      <c r="M609" s="343">
        <v>2023</v>
      </c>
      <c r="N609" s="344">
        <v>0</v>
      </c>
      <c r="O609" s="345">
        <v>43125</v>
      </c>
      <c r="P609" s="345">
        <v>43125</v>
      </c>
    </row>
    <row r="610" spans="1:16" ht="14.25">
      <c r="A610" s="339">
        <v>2018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2"/>
        <v>1</v>
      </c>
      <c r="L610" s="342">
        <v>1</v>
      </c>
      <c r="M610" s="343">
        <v>2019</v>
      </c>
      <c r="N610" s="344">
        <v>2989473.46</v>
      </c>
      <c r="O610" s="345">
        <v>43125</v>
      </c>
      <c r="P610" s="345">
        <v>43125</v>
      </c>
    </row>
    <row r="611" spans="1:16" ht="14.25">
      <c r="A611" s="339">
        <v>2018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2"/>
        <v>1</v>
      </c>
      <c r="L611" s="342">
        <v>4</v>
      </c>
      <c r="M611" s="343">
        <v>2022</v>
      </c>
      <c r="N611" s="344">
        <v>0</v>
      </c>
      <c r="O611" s="345">
        <v>43125</v>
      </c>
      <c r="P611" s="345">
        <v>43125</v>
      </c>
    </row>
    <row r="612" spans="1:16" ht="14.25">
      <c r="A612" s="339">
        <v>2018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2"/>
        <v>1</v>
      </c>
      <c r="L612" s="342">
        <v>2</v>
      </c>
      <c r="M612" s="343">
        <v>2020</v>
      </c>
      <c r="N612" s="344">
        <v>1122446.05</v>
      </c>
      <c r="O612" s="345">
        <v>43125</v>
      </c>
      <c r="P612" s="345">
        <v>43125</v>
      </c>
    </row>
    <row r="613" spans="1:16" ht="14.25">
      <c r="A613" s="339">
        <v>2018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2"/>
        <v>1</v>
      </c>
      <c r="L613" s="342">
        <v>7</v>
      </c>
      <c r="M613" s="343">
        <v>2025</v>
      </c>
      <c r="N613" s="344">
        <v>0</v>
      </c>
      <c r="O613" s="345">
        <v>43125</v>
      </c>
      <c r="P613" s="345">
        <v>43125</v>
      </c>
    </row>
    <row r="614" spans="1:16" ht="14.25">
      <c r="A614" s="339">
        <v>2018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2"/>
        <v>1</v>
      </c>
      <c r="L614" s="342">
        <v>3</v>
      </c>
      <c r="M614" s="343">
        <v>2021</v>
      </c>
      <c r="N614" s="344">
        <v>5872632.01</v>
      </c>
      <c r="O614" s="345">
        <v>43125</v>
      </c>
      <c r="P614" s="345">
        <v>43125</v>
      </c>
    </row>
    <row r="615" spans="1:16" ht="14.25">
      <c r="A615" s="339">
        <v>2018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2"/>
        <v>1</v>
      </c>
      <c r="L615" s="342">
        <v>0</v>
      </c>
      <c r="M615" s="343">
        <v>2018</v>
      </c>
      <c r="N615" s="344">
        <v>6778558.93</v>
      </c>
      <c r="O615" s="345">
        <v>43125</v>
      </c>
      <c r="P615" s="345">
        <v>43125</v>
      </c>
    </row>
    <row r="616" spans="1:16" ht="14.25">
      <c r="A616" s="339">
        <v>2018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2"/>
        <v>1</v>
      </c>
      <c r="L616" s="342">
        <v>2</v>
      </c>
      <c r="M616" s="343">
        <v>2020</v>
      </c>
      <c r="N616" s="344">
        <v>12240</v>
      </c>
      <c r="O616" s="345">
        <v>43125</v>
      </c>
      <c r="P616" s="345">
        <v>43125</v>
      </c>
    </row>
    <row r="617" spans="1:16" ht="14.25">
      <c r="A617" s="339">
        <v>2018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2"/>
        <v>1</v>
      </c>
      <c r="L617" s="342">
        <v>3</v>
      </c>
      <c r="M617" s="343">
        <v>2021</v>
      </c>
      <c r="N617" s="344">
        <v>17680</v>
      </c>
      <c r="O617" s="345">
        <v>43125</v>
      </c>
      <c r="P617" s="345">
        <v>43125</v>
      </c>
    </row>
    <row r="618" spans="1:16" ht="14.25">
      <c r="A618" s="339">
        <v>2018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1</v>
      </c>
      <c r="M618" s="343">
        <v>2019</v>
      </c>
      <c r="N618" s="344">
        <v>12240</v>
      </c>
      <c r="O618" s="345">
        <v>43125</v>
      </c>
      <c r="P618" s="345">
        <v>43125</v>
      </c>
    </row>
    <row r="619" spans="1:16" ht="14.25">
      <c r="A619" s="339">
        <v>2018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6</v>
      </c>
      <c r="M619" s="343">
        <v>2024</v>
      </c>
      <c r="N619" s="344">
        <v>0</v>
      </c>
      <c r="O619" s="345">
        <v>43125</v>
      </c>
      <c r="P619" s="345">
        <v>43125</v>
      </c>
    </row>
    <row r="620" spans="1:16" ht="14.25">
      <c r="A620" s="339">
        <v>2018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5</v>
      </c>
      <c r="M620" s="343">
        <v>2023</v>
      </c>
      <c r="N620" s="344">
        <v>0</v>
      </c>
      <c r="O620" s="345">
        <v>43125</v>
      </c>
      <c r="P620" s="345">
        <v>43125</v>
      </c>
    </row>
    <row r="621" spans="1:16" ht="14.25">
      <c r="A621" s="339">
        <v>2018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8</v>
      </c>
      <c r="M621" s="343">
        <v>2026</v>
      </c>
      <c r="N621" s="344">
        <v>0</v>
      </c>
      <c r="O621" s="345">
        <v>43125</v>
      </c>
      <c r="P621" s="345">
        <v>43125</v>
      </c>
    </row>
    <row r="622" spans="1:16" ht="14.25">
      <c r="A622" s="339">
        <v>2018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7</v>
      </c>
      <c r="M622" s="343">
        <v>2025</v>
      </c>
      <c r="N622" s="344">
        <v>0</v>
      </c>
      <c r="O622" s="345">
        <v>43125</v>
      </c>
      <c r="P622" s="345">
        <v>43125</v>
      </c>
    </row>
    <row r="623" spans="1:16" ht="14.25">
      <c r="A623" s="339">
        <v>2018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0</v>
      </c>
      <c r="M623" s="343">
        <v>2018</v>
      </c>
      <c r="N623" s="344">
        <v>131258.67</v>
      </c>
      <c r="O623" s="345">
        <v>43125</v>
      </c>
      <c r="P623" s="345">
        <v>43125</v>
      </c>
    </row>
    <row r="624" spans="1:16" ht="14.25">
      <c r="A624" s="339">
        <v>2018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4</v>
      </c>
      <c r="M624" s="343">
        <v>2022</v>
      </c>
      <c r="N624" s="344">
        <v>0</v>
      </c>
      <c r="O624" s="345">
        <v>43125</v>
      </c>
      <c r="P624" s="345">
        <v>43125</v>
      </c>
    </row>
    <row r="625" spans="1:16" ht="14.25">
      <c r="A625" s="339">
        <v>2018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2"/>
        <v>1</v>
      </c>
      <c r="L625" s="342">
        <v>3</v>
      </c>
      <c r="M625" s="343">
        <v>2021</v>
      </c>
      <c r="N625" s="344">
        <v>0</v>
      </c>
      <c r="O625" s="345">
        <v>43125</v>
      </c>
      <c r="P625" s="345">
        <v>43125</v>
      </c>
    </row>
    <row r="626" spans="1:16" ht="14.25">
      <c r="A626" s="339">
        <v>2018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5</v>
      </c>
      <c r="M626" s="343">
        <v>2023</v>
      </c>
      <c r="N626" s="344">
        <v>0</v>
      </c>
      <c r="O626" s="345">
        <v>43125</v>
      </c>
      <c r="P626" s="345">
        <v>43125</v>
      </c>
    </row>
    <row r="627" spans="1:16" ht="14.25">
      <c r="A627" s="339">
        <v>2018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7</v>
      </c>
      <c r="M627" s="343">
        <v>2025</v>
      </c>
      <c r="N627" s="344">
        <v>0</v>
      </c>
      <c r="O627" s="345">
        <v>43125</v>
      </c>
      <c r="P627" s="345">
        <v>43125</v>
      </c>
    </row>
    <row r="628" spans="1:16" ht="14.25">
      <c r="A628" s="339">
        <v>2018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1</v>
      </c>
      <c r="M628" s="343">
        <v>2019</v>
      </c>
      <c r="N628" s="344">
        <v>0</v>
      </c>
      <c r="O628" s="345">
        <v>43125</v>
      </c>
      <c r="P628" s="345">
        <v>43125</v>
      </c>
    </row>
    <row r="629" spans="1:16" ht="14.25">
      <c r="A629" s="339">
        <v>2018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2</v>
      </c>
      <c r="M629" s="343">
        <v>2020</v>
      </c>
      <c r="N629" s="344">
        <v>0</v>
      </c>
      <c r="O629" s="345">
        <v>43125</v>
      </c>
      <c r="P629" s="345">
        <v>43125</v>
      </c>
    </row>
    <row r="630" spans="1:16" ht="14.25">
      <c r="A630" s="339">
        <v>2018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8</v>
      </c>
      <c r="M630" s="343">
        <v>2026</v>
      </c>
      <c r="N630" s="344">
        <v>0</v>
      </c>
      <c r="O630" s="345">
        <v>43125</v>
      </c>
      <c r="P630" s="345">
        <v>43125</v>
      </c>
    </row>
    <row r="631" spans="1:16" ht="14.25">
      <c r="A631" s="339">
        <v>2018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4</v>
      </c>
      <c r="M631" s="343">
        <v>2022</v>
      </c>
      <c r="N631" s="344">
        <v>0</v>
      </c>
      <c r="O631" s="345">
        <v>43125</v>
      </c>
      <c r="P631" s="345">
        <v>43125</v>
      </c>
    </row>
    <row r="632" spans="1:16" ht="14.25">
      <c r="A632" s="339">
        <v>2018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0</v>
      </c>
      <c r="M632" s="343">
        <v>2018</v>
      </c>
      <c r="N632" s="344">
        <v>0</v>
      </c>
      <c r="O632" s="345">
        <v>43125</v>
      </c>
      <c r="P632" s="345">
        <v>43125</v>
      </c>
    </row>
    <row r="633" spans="1:16" ht="14.25">
      <c r="A633" s="339">
        <v>2018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6</v>
      </c>
      <c r="M633" s="343">
        <v>2024</v>
      </c>
      <c r="N633" s="344">
        <v>0</v>
      </c>
      <c r="O633" s="345">
        <v>43125</v>
      </c>
      <c r="P633" s="345">
        <v>43125</v>
      </c>
    </row>
    <row r="634" spans="1:16" ht="14.25">
      <c r="A634" s="339">
        <v>2018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3" ref="K634:K660">FALSE</f>
        <v>0</v>
      </c>
      <c r="L634" s="342">
        <v>8</v>
      </c>
      <c r="M634" s="343">
        <v>2026</v>
      </c>
      <c r="N634" s="344">
        <v>10400000</v>
      </c>
      <c r="O634" s="345">
        <v>43125</v>
      </c>
      <c r="P634" s="345">
        <v>43125</v>
      </c>
    </row>
    <row r="635" spans="1:16" ht="14.25">
      <c r="A635" s="339">
        <v>2018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3"/>
        <v>0</v>
      </c>
      <c r="L635" s="342">
        <v>6</v>
      </c>
      <c r="M635" s="343">
        <v>2024</v>
      </c>
      <c r="N635" s="344">
        <v>8400000</v>
      </c>
      <c r="O635" s="345">
        <v>43125</v>
      </c>
      <c r="P635" s="345">
        <v>43125</v>
      </c>
    </row>
    <row r="636" spans="1:16" ht="14.25">
      <c r="A636" s="339">
        <v>2018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0</v>
      </c>
      <c r="M636" s="343">
        <v>2018</v>
      </c>
      <c r="N636" s="344">
        <v>2668244.5</v>
      </c>
      <c r="O636" s="345">
        <v>43125</v>
      </c>
      <c r="P636" s="345">
        <v>43125</v>
      </c>
    </row>
    <row r="637" spans="1:16" ht="14.25">
      <c r="A637" s="339">
        <v>2018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2</v>
      </c>
      <c r="M637" s="343">
        <v>2020</v>
      </c>
      <c r="N637" s="344">
        <v>4400000</v>
      </c>
      <c r="O637" s="345">
        <v>43125</v>
      </c>
      <c r="P637" s="345">
        <v>43125</v>
      </c>
    </row>
    <row r="638" spans="1:16" ht="14.25">
      <c r="A638" s="339">
        <v>2018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7</v>
      </c>
      <c r="M638" s="343">
        <v>2025</v>
      </c>
      <c r="N638" s="344">
        <v>9400000</v>
      </c>
      <c r="O638" s="345">
        <v>43125</v>
      </c>
      <c r="P638" s="345">
        <v>43125</v>
      </c>
    </row>
    <row r="639" spans="1:16" ht="14.25">
      <c r="A639" s="339">
        <v>2018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5</v>
      </c>
      <c r="M639" s="343">
        <v>2023</v>
      </c>
      <c r="N639" s="344">
        <v>7400000</v>
      </c>
      <c r="O639" s="345">
        <v>43125</v>
      </c>
      <c r="P639" s="345">
        <v>43125</v>
      </c>
    </row>
    <row r="640" spans="1:16" ht="14.25">
      <c r="A640" s="339">
        <v>2018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1</v>
      </c>
      <c r="M640" s="343">
        <v>2019</v>
      </c>
      <c r="N640" s="344">
        <v>3400000</v>
      </c>
      <c r="O640" s="345">
        <v>43125</v>
      </c>
      <c r="P640" s="345">
        <v>43125</v>
      </c>
    </row>
    <row r="641" spans="1:16" ht="14.25">
      <c r="A641" s="339">
        <v>2018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4</v>
      </c>
      <c r="M641" s="343">
        <v>2022</v>
      </c>
      <c r="N641" s="344">
        <v>6400000</v>
      </c>
      <c r="O641" s="345">
        <v>43125</v>
      </c>
      <c r="P641" s="345">
        <v>43125</v>
      </c>
    </row>
    <row r="642" spans="1:16" ht="14.25">
      <c r="A642" s="339">
        <v>2018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3</v>
      </c>
      <c r="M642" s="343">
        <v>2021</v>
      </c>
      <c r="N642" s="344">
        <v>5400000</v>
      </c>
      <c r="O642" s="345">
        <v>43125</v>
      </c>
      <c r="P642" s="345">
        <v>43125</v>
      </c>
    </row>
    <row r="643" spans="1:16" ht="14.25">
      <c r="A643" s="339">
        <v>2018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7</v>
      </c>
      <c r="M643" s="343">
        <v>2025</v>
      </c>
      <c r="N643" s="344">
        <v>0</v>
      </c>
      <c r="O643" s="345">
        <v>43125</v>
      </c>
      <c r="P643" s="345">
        <v>43125</v>
      </c>
    </row>
    <row r="644" spans="1:16" ht="14.25">
      <c r="A644" s="339">
        <v>2018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8</v>
      </c>
      <c r="M644" s="343">
        <v>2026</v>
      </c>
      <c r="N644" s="344">
        <v>0</v>
      </c>
      <c r="O644" s="345">
        <v>43125</v>
      </c>
      <c r="P644" s="345">
        <v>43125</v>
      </c>
    </row>
    <row r="645" spans="1:16" ht="14.25">
      <c r="A645" s="339">
        <v>2018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1</v>
      </c>
      <c r="M645" s="343">
        <v>2019</v>
      </c>
      <c r="N645" s="344">
        <v>20300</v>
      </c>
      <c r="O645" s="345">
        <v>43125</v>
      </c>
      <c r="P645" s="345">
        <v>43125</v>
      </c>
    </row>
    <row r="646" spans="1:16" ht="14.25">
      <c r="A646" s="339">
        <v>2018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2</v>
      </c>
      <c r="M646" s="343">
        <v>2020</v>
      </c>
      <c r="N646" s="344">
        <v>20300</v>
      </c>
      <c r="O646" s="345">
        <v>43125</v>
      </c>
      <c r="P646" s="345">
        <v>43125</v>
      </c>
    </row>
    <row r="647" spans="1:16" ht="14.25">
      <c r="A647" s="339">
        <v>2018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0</v>
      </c>
      <c r="M647" s="343">
        <v>2018</v>
      </c>
      <c r="N647" s="344">
        <v>130873.56</v>
      </c>
      <c r="O647" s="345">
        <v>43125</v>
      </c>
      <c r="P647" s="345">
        <v>43125</v>
      </c>
    </row>
    <row r="648" spans="1:16" ht="14.25">
      <c r="A648" s="339">
        <v>2018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4</v>
      </c>
      <c r="M648" s="343">
        <v>2022</v>
      </c>
      <c r="N648" s="344">
        <v>0</v>
      </c>
      <c r="O648" s="345">
        <v>43125</v>
      </c>
      <c r="P648" s="345">
        <v>43125</v>
      </c>
    </row>
    <row r="649" spans="1:16" ht="14.25">
      <c r="A649" s="339">
        <v>2018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3</v>
      </c>
      <c r="M649" s="343">
        <v>2021</v>
      </c>
      <c r="N649" s="344">
        <v>30140</v>
      </c>
      <c r="O649" s="345">
        <v>43125</v>
      </c>
      <c r="P649" s="345">
        <v>43125</v>
      </c>
    </row>
    <row r="650" spans="1:16" ht="14.25">
      <c r="A650" s="339">
        <v>2018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6</v>
      </c>
      <c r="M650" s="343">
        <v>2024</v>
      </c>
      <c r="N650" s="344">
        <v>0</v>
      </c>
      <c r="O650" s="345">
        <v>43125</v>
      </c>
      <c r="P650" s="345">
        <v>43125</v>
      </c>
    </row>
    <row r="651" spans="1:16" ht="14.25">
      <c r="A651" s="339">
        <v>2018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5</v>
      </c>
      <c r="M651" s="343">
        <v>2023</v>
      </c>
      <c r="N651" s="344">
        <v>0</v>
      </c>
      <c r="O651" s="345">
        <v>43125</v>
      </c>
      <c r="P651" s="345">
        <v>43125</v>
      </c>
    </row>
    <row r="652" spans="1:16" ht="14.25">
      <c r="A652" s="339">
        <v>2018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2</v>
      </c>
      <c r="M652" s="343">
        <v>2020</v>
      </c>
      <c r="N652" s="344">
        <v>45007912.14</v>
      </c>
      <c r="O652" s="345">
        <v>43125</v>
      </c>
      <c r="P652" s="345">
        <v>43125</v>
      </c>
    </row>
    <row r="653" spans="1:16" ht="14.25">
      <c r="A653" s="339">
        <v>2018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8</v>
      </c>
      <c r="M653" s="343">
        <v>2026</v>
      </c>
      <c r="N653" s="344">
        <v>54401658.32</v>
      </c>
      <c r="O653" s="345">
        <v>43125</v>
      </c>
      <c r="P653" s="345">
        <v>43125</v>
      </c>
    </row>
    <row r="654" spans="1:16" ht="14.25">
      <c r="A654" s="339">
        <v>2018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4</v>
      </c>
      <c r="M654" s="343">
        <v>2022</v>
      </c>
      <c r="N654" s="344">
        <v>47349996</v>
      </c>
      <c r="O654" s="345">
        <v>43125</v>
      </c>
      <c r="P654" s="345">
        <v>43125</v>
      </c>
    </row>
    <row r="655" spans="1:16" ht="14.25">
      <c r="A655" s="339">
        <v>2018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7</v>
      </c>
      <c r="M655" s="343">
        <v>2025</v>
      </c>
      <c r="N655" s="344">
        <v>53014683.21</v>
      </c>
      <c r="O655" s="345">
        <v>43125</v>
      </c>
      <c r="P655" s="345">
        <v>43125</v>
      </c>
    </row>
    <row r="656" spans="1:16" ht="14.25">
      <c r="A656" s="339">
        <v>2018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3</v>
      </c>
      <c r="M656" s="343">
        <v>2021</v>
      </c>
      <c r="N656" s="344">
        <v>48867625.81</v>
      </c>
      <c r="O656" s="345">
        <v>43125</v>
      </c>
      <c r="P656" s="345">
        <v>43125</v>
      </c>
    </row>
    <row r="657" spans="1:16" ht="14.25">
      <c r="A657" s="339">
        <v>2018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6</v>
      </c>
      <c r="M657" s="343">
        <v>2024</v>
      </c>
      <c r="N657" s="344">
        <v>51350000</v>
      </c>
      <c r="O657" s="345">
        <v>43125</v>
      </c>
      <c r="P657" s="345">
        <v>43125</v>
      </c>
    </row>
    <row r="658" spans="1:16" ht="14.25">
      <c r="A658" s="339">
        <v>2018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1</v>
      </c>
      <c r="M658" s="343">
        <v>2019</v>
      </c>
      <c r="N658" s="344">
        <v>49593989.15</v>
      </c>
      <c r="O658" s="345">
        <v>43125</v>
      </c>
      <c r="P658" s="345">
        <v>43125</v>
      </c>
    </row>
    <row r="659" spans="1:16" ht="14.25">
      <c r="A659" s="339">
        <v>2018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0</v>
      </c>
      <c r="M659" s="343">
        <v>2018</v>
      </c>
      <c r="N659" s="344">
        <v>55300482.3</v>
      </c>
      <c r="O659" s="345">
        <v>43125</v>
      </c>
      <c r="P659" s="345">
        <v>43125</v>
      </c>
    </row>
    <row r="660" spans="1:16" ht="14.25">
      <c r="A660" s="339">
        <v>2018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5</v>
      </c>
      <c r="M660" s="343">
        <v>2023</v>
      </c>
      <c r="N660" s="344">
        <v>48682000</v>
      </c>
      <c r="O660" s="345">
        <v>43125</v>
      </c>
      <c r="P660" s="345">
        <v>43125</v>
      </c>
    </row>
    <row r="661" spans="1:16" ht="14.25">
      <c r="A661" s="339">
        <v>2018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4" ref="K661:K723">TRUE</f>
        <v>1</v>
      </c>
      <c r="L661" s="342">
        <v>6</v>
      </c>
      <c r="M661" s="343">
        <v>2024</v>
      </c>
      <c r="N661" s="344">
        <v>0.1265</v>
      </c>
      <c r="O661" s="345">
        <v>43125</v>
      </c>
      <c r="P661" s="345">
        <v>43125</v>
      </c>
    </row>
    <row r="662" spans="1:16" ht="14.25">
      <c r="A662" s="339">
        <v>2018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4"/>
        <v>1</v>
      </c>
      <c r="L662" s="342">
        <v>4</v>
      </c>
      <c r="M662" s="343">
        <v>2022</v>
      </c>
      <c r="N662" s="344">
        <v>0.1204</v>
      </c>
      <c r="O662" s="345">
        <v>43125</v>
      </c>
      <c r="P662" s="345">
        <v>43125</v>
      </c>
    </row>
    <row r="663" spans="1:16" ht="14.25">
      <c r="A663" s="339">
        <v>2018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8</v>
      </c>
      <c r="M663" s="343">
        <v>2026</v>
      </c>
      <c r="N663" s="344">
        <v>0.1594</v>
      </c>
      <c r="O663" s="345">
        <v>43125</v>
      </c>
      <c r="P663" s="345">
        <v>43125</v>
      </c>
    </row>
    <row r="664" spans="1:16" ht="14.25">
      <c r="A664" s="339">
        <v>2018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0</v>
      </c>
      <c r="M664" s="343">
        <v>2018</v>
      </c>
      <c r="N664" s="344">
        <v>0.0619</v>
      </c>
      <c r="O664" s="345">
        <v>43125</v>
      </c>
      <c r="P664" s="345">
        <v>43125</v>
      </c>
    </row>
    <row r="665" spans="1:16" ht="14.25">
      <c r="A665" s="339">
        <v>2018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3</v>
      </c>
      <c r="M665" s="343">
        <v>2021</v>
      </c>
      <c r="N665" s="344">
        <v>0.1114</v>
      </c>
      <c r="O665" s="345">
        <v>43125</v>
      </c>
      <c r="P665" s="345">
        <v>43125</v>
      </c>
    </row>
    <row r="666" spans="1:16" ht="14.25">
      <c r="A666" s="339">
        <v>2018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2</v>
      </c>
      <c r="M666" s="343">
        <v>2020</v>
      </c>
      <c r="N666" s="344">
        <v>0.0925</v>
      </c>
      <c r="O666" s="345">
        <v>43125</v>
      </c>
      <c r="P666" s="345">
        <v>43125</v>
      </c>
    </row>
    <row r="667" spans="1:16" ht="14.25">
      <c r="A667" s="339">
        <v>2018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1</v>
      </c>
      <c r="M667" s="343">
        <v>2019</v>
      </c>
      <c r="N667" s="344">
        <v>0.0641</v>
      </c>
      <c r="O667" s="345">
        <v>43125</v>
      </c>
      <c r="P667" s="345">
        <v>43125</v>
      </c>
    </row>
    <row r="668" spans="1:16" ht="14.25">
      <c r="A668" s="339">
        <v>2018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5</v>
      </c>
      <c r="M668" s="343">
        <v>2023</v>
      </c>
      <c r="N668" s="344">
        <v>0.1093</v>
      </c>
      <c r="O668" s="345">
        <v>43125</v>
      </c>
      <c r="P668" s="345">
        <v>43125</v>
      </c>
    </row>
    <row r="669" spans="1:16" ht="14.25">
      <c r="A669" s="339">
        <v>2018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7</v>
      </c>
      <c r="M669" s="343">
        <v>2025</v>
      </c>
      <c r="N669" s="344">
        <v>0.1445</v>
      </c>
      <c r="O669" s="345">
        <v>43125</v>
      </c>
      <c r="P669" s="345">
        <v>43125</v>
      </c>
    </row>
    <row r="670" spans="1:16" ht="14.25">
      <c r="A670" s="339">
        <v>2018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4"/>
        <v>1</v>
      </c>
      <c r="L670" s="342">
        <v>6</v>
      </c>
      <c r="M670" s="343">
        <v>2024</v>
      </c>
      <c r="N670" s="344">
        <v>180000</v>
      </c>
      <c r="O670" s="345">
        <v>43125</v>
      </c>
      <c r="P670" s="345">
        <v>43125</v>
      </c>
    </row>
    <row r="671" spans="1:16" ht="14.25">
      <c r="A671" s="339">
        <v>2018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4"/>
        <v>1</v>
      </c>
      <c r="L671" s="342">
        <v>8</v>
      </c>
      <c r="M671" s="343">
        <v>2026</v>
      </c>
      <c r="N671" s="344">
        <v>90000</v>
      </c>
      <c r="O671" s="345">
        <v>43125</v>
      </c>
      <c r="P671" s="345">
        <v>43125</v>
      </c>
    </row>
    <row r="672" spans="1:16" ht="14.25">
      <c r="A672" s="339">
        <v>2018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4</v>
      </c>
      <c r="M672" s="343">
        <v>2022</v>
      </c>
      <c r="N672" s="344">
        <v>270000</v>
      </c>
      <c r="O672" s="345">
        <v>43125</v>
      </c>
      <c r="P672" s="345">
        <v>43125</v>
      </c>
    </row>
    <row r="673" spans="1:16" ht="14.25">
      <c r="A673" s="339">
        <v>2018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1</v>
      </c>
      <c r="M673" s="343">
        <v>2019</v>
      </c>
      <c r="N673" s="344">
        <v>400000</v>
      </c>
      <c r="O673" s="345">
        <v>43125</v>
      </c>
      <c r="P673" s="345">
        <v>43125</v>
      </c>
    </row>
    <row r="674" spans="1:16" ht="14.25">
      <c r="A674" s="339">
        <v>2018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0</v>
      </c>
      <c r="M674" s="343">
        <v>2018</v>
      </c>
      <c r="N674" s="344">
        <v>435000</v>
      </c>
      <c r="O674" s="345">
        <v>43125</v>
      </c>
      <c r="P674" s="345">
        <v>43125</v>
      </c>
    </row>
    <row r="675" spans="1:16" ht="14.25">
      <c r="A675" s="339">
        <v>2018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5</v>
      </c>
      <c r="M675" s="343">
        <v>2023</v>
      </c>
      <c r="N675" s="344">
        <v>220000</v>
      </c>
      <c r="O675" s="345">
        <v>43125</v>
      </c>
      <c r="P675" s="345">
        <v>43125</v>
      </c>
    </row>
    <row r="676" spans="1:16" ht="14.25">
      <c r="A676" s="339">
        <v>2018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2</v>
      </c>
      <c r="M676" s="343">
        <v>2020</v>
      </c>
      <c r="N676" s="344">
        <v>360000</v>
      </c>
      <c r="O676" s="345">
        <v>43125</v>
      </c>
      <c r="P676" s="345">
        <v>43125</v>
      </c>
    </row>
    <row r="677" spans="1:16" ht="14.25">
      <c r="A677" s="339">
        <v>2018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7</v>
      </c>
      <c r="M677" s="343">
        <v>2025</v>
      </c>
      <c r="N677" s="344">
        <v>130000</v>
      </c>
      <c r="O677" s="345">
        <v>43125</v>
      </c>
      <c r="P677" s="345">
        <v>43125</v>
      </c>
    </row>
    <row r="678" spans="1:16" ht="14.25">
      <c r="A678" s="339">
        <v>2018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3</v>
      </c>
      <c r="M678" s="343">
        <v>2021</v>
      </c>
      <c r="N678" s="344">
        <v>310000</v>
      </c>
      <c r="O678" s="345">
        <v>43125</v>
      </c>
      <c r="P678" s="345">
        <v>43125</v>
      </c>
    </row>
    <row r="679" spans="1:16" ht="14.25">
      <c r="A679" s="339">
        <v>2018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4"/>
        <v>1</v>
      </c>
      <c r="L679" s="342">
        <v>0</v>
      </c>
      <c r="M679" s="343">
        <v>2018</v>
      </c>
      <c r="N679" s="344">
        <v>4037531.39</v>
      </c>
      <c r="O679" s="345">
        <v>43125</v>
      </c>
      <c r="P679" s="345">
        <v>43125</v>
      </c>
    </row>
    <row r="680" spans="1:16" ht="14.25">
      <c r="A680" s="339">
        <v>2018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7</v>
      </c>
      <c r="M680" s="343">
        <v>2025</v>
      </c>
      <c r="N680" s="344">
        <v>0</v>
      </c>
      <c r="O680" s="345">
        <v>43125</v>
      </c>
      <c r="P680" s="345">
        <v>43125</v>
      </c>
    </row>
    <row r="681" spans="1:16" ht="14.25">
      <c r="A681" s="339">
        <v>2018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2</v>
      </c>
      <c r="M681" s="343">
        <v>2020</v>
      </c>
      <c r="N681" s="344">
        <v>617916.14</v>
      </c>
      <c r="O681" s="345">
        <v>43125</v>
      </c>
      <c r="P681" s="345">
        <v>43125</v>
      </c>
    </row>
    <row r="682" spans="1:16" ht="14.25">
      <c r="A682" s="339">
        <v>2018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4</v>
      </c>
      <c r="M682" s="343">
        <v>2022</v>
      </c>
      <c r="N682" s="344">
        <v>0</v>
      </c>
      <c r="O682" s="345">
        <v>43125</v>
      </c>
      <c r="P682" s="345">
        <v>43125</v>
      </c>
    </row>
    <row r="683" spans="1:16" ht="14.25">
      <c r="A683" s="339">
        <v>2018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8</v>
      </c>
      <c r="M683" s="343">
        <v>2026</v>
      </c>
      <c r="N683" s="344">
        <v>0</v>
      </c>
      <c r="O683" s="345">
        <v>43125</v>
      </c>
      <c r="P683" s="345">
        <v>43125</v>
      </c>
    </row>
    <row r="684" spans="1:16" ht="14.25">
      <c r="A684" s="339">
        <v>2018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6</v>
      </c>
      <c r="M684" s="343">
        <v>2024</v>
      </c>
      <c r="N684" s="344">
        <v>0</v>
      </c>
      <c r="O684" s="345">
        <v>43125</v>
      </c>
      <c r="P684" s="345">
        <v>43125</v>
      </c>
    </row>
    <row r="685" spans="1:16" ht="14.25">
      <c r="A685" s="339">
        <v>2018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3</v>
      </c>
      <c r="M685" s="343">
        <v>2021</v>
      </c>
      <c r="N685" s="344">
        <v>2977629.81</v>
      </c>
      <c r="O685" s="345">
        <v>43125</v>
      </c>
      <c r="P685" s="345">
        <v>43125</v>
      </c>
    </row>
    <row r="686" spans="1:16" ht="14.25">
      <c r="A686" s="339">
        <v>2018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1</v>
      </c>
      <c r="M686" s="343">
        <v>2019</v>
      </c>
      <c r="N686" s="344">
        <v>1173704.15</v>
      </c>
      <c r="O686" s="345">
        <v>43125</v>
      </c>
      <c r="P686" s="345">
        <v>43125</v>
      </c>
    </row>
    <row r="687" spans="1:16" ht="14.25">
      <c r="A687" s="339">
        <v>2018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5</v>
      </c>
      <c r="M687" s="343">
        <v>2023</v>
      </c>
      <c r="N687" s="344">
        <v>0</v>
      </c>
      <c r="O687" s="345">
        <v>43125</v>
      </c>
      <c r="P687" s="345">
        <v>43125</v>
      </c>
    </row>
    <row r="688" spans="1:16" ht="14.25">
      <c r="A688" s="339">
        <v>2018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5</v>
      </c>
      <c r="M688" s="343">
        <v>2023</v>
      </c>
      <c r="N688" s="344">
        <v>2418000</v>
      </c>
      <c r="O688" s="345">
        <v>43125</v>
      </c>
      <c r="P688" s="345">
        <v>43125</v>
      </c>
    </row>
    <row r="689" spans="1:16" ht="14.25">
      <c r="A689" s="339">
        <v>2018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2</v>
      </c>
      <c r="M689" s="343">
        <v>2020</v>
      </c>
      <c r="N689" s="344">
        <v>2210004</v>
      </c>
      <c r="O689" s="345">
        <v>43125</v>
      </c>
      <c r="P689" s="345">
        <v>43125</v>
      </c>
    </row>
    <row r="690" spans="1:16" ht="14.25">
      <c r="A690" s="339">
        <v>2018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4</v>
      </c>
      <c r="M690" s="343">
        <v>2022</v>
      </c>
      <c r="N690" s="344">
        <v>2250004</v>
      </c>
      <c r="O690" s="345">
        <v>43125</v>
      </c>
      <c r="P690" s="345">
        <v>43125</v>
      </c>
    </row>
    <row r="691" spans="1:16" ht="14.25">
      <c r="A691" s="339">
        <v>2018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1</v>
      </c>
      <c r="M691" s="343">
        <v>2019</v>
      </c>
      <c r="N691" s="344">
        <v>1860004</v>
      </c>
      <c r="O691" s="345">
        <v>43125</v>
      </c>
      <c r="P691" s="345">
        <v>43125</v>
      </c>
    </row>
    <row r="692" spans="1:16" ht="14.25">
      <c r="A692" s="339">
        <v>2018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7</v>
      </c>
      <c r="M692" s="343">
        <v>2025</v>
      </c>
      <c r="N692" s="344">
        <v>1085316.79</v>
      </c>
      <c r="O692" s="345">
        <v>43125</v>
      </c>
      <c r="P692" s="345">
        <v>43125</v>
      </c>
    </row>
    <row r="693" spans="1:16" ht="14.25">
      <c r="A693" s="339">
        <v>2018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0</v>
      </c>
      <c r="M693" s="343">
        <v>2018</v>
      </c>
      <c r="N693" s="344">
        <v>1678204</v>
      </c>
      <c r="O693" s="345">
        <v>43125</v>
      </c>
      <c r="P693" s="345">
        <v>43125</v>
      </c>
    </row>
    <row r="694" spans="1:16" ht="14.25">
      <c r="A694" s="339">
        <v>2018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6</v>
      </c>
      <c r="M694" s="343">
        <v>2024</v>
      </c>
      <c r="N694" s="344">
        <v>1250000</v>
      </c>
      <c r="O694" s="345">
        <v>43125</v>
      </c>
      <c r="P694" s="345">
        <v>43125</v>
      </c>
    </row>
    <row r="695" spans="1:16" ht="14.25">
      <c r="A695" s="339">
        <v>2018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8</v>
      </c>
      <c r="M695" s="343">
        <v>2026</v>
      </c>
      <c r="N695" s="344">
        <v>1198341.68</v>
      </c>
      <c r="O695" s="345">
        <v>43125</v>
      </c>
      <c r="P695" s="345">
        <v>43125</v>
      </c>
    </row>
    <row r="696" spans="1:16" ht="14.25">
      <c r="A696" s="339">
        <v>2018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3</v>
      </c>
      <c r="M696" s="343">
        <v>2021</v>
      </c>
      <c r="N696" s="344">
        <v>2210004</v>
      </c>
      <c r="O696" s="345">
        <v>43125</v>
      </c>
      <c r="P696" s="345">
        <v>43125</v>
      </c>
    </row>
    <row r="697" spans="1:16" ht="14.25">
      <c r="A697" s="339">
        <v>2018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6</v>
      </c>
      <c r="M697" s="343">
        <v>2024</v>
      </c>
      <c r="N697" s="344">
        <v>0</v>
      </c>
      <c r="O697" s="345">
        <v>43125</v>
      </c>
      <c r="P697" s="345">
        <v>43125</v>
      </c>
    </row>
    <row r="698" spans="1:16" ht="14.25">
      <c r="A698" s="339">
        <v>2018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0</v>
      </c>
      <c r="M698" s="343">
        <v>2018</v>
      </c>
      <c r="N698" s="344">
        <v>14088339.67</v>
      </c>
      <c r="O698" s="345">
        <v>43125</v>
      </c>
      <c r="P698" s="345">
        <v>43125</v>
      </c>
    </row>
    <row r="699" spans="1:16" ht="14.25">
      <c r="A699" s="339">
        <v>2018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8</v>
      </c>
      <c r="M699" s="343">
        <v>2026</v>
      </c>
      <c r="N699" s="344">
        <v>0</v>
      </c>
      <c r="O699" s="345">
        <v>43125</v>
      </c>
      <c r="P699" s="345">
        <v>43125</v>
      </c>
    </row>
    <row r="700" spans="1:16" ht="14.25">
      <c r="A700" s="339">
        <v>2018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7</v>
      </c>
      <c r="M700" s="343">
        <v>2025</v>
      </c>
      <c r="N700" s="344">
        <v>0</v>
      </c>
      <c r="O700" s="345">
        <v>43125</v>
      </c>
      <c r="P700" s="345">
        <v>43125</v>
      </c>
    </row>
    <row r="701" spans="1:16" ht="14.25">
      <c r="A701" s="339">
        <v>2018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3</v>
      </c>
      <c r="M701" s="343">
        <v>2021</v>
      </c>
      <c r="N701" s="344">
        <v>15200000</v>
      </c>
      <c r="O701" s="345">
        <v>43125</v>
      </c>
      <c r="P701" s="345">
        <v>43125</v>
      </c>
    </row>
    <row r="702" spans="1:16" ht="14.25">
      <c r="A702" s="339">
        <v>2018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2</v>
      </c>
      <c r="M702" s="343">
        <v>2020</v>
      </c>
      <c r="N702" s="344">
        <v>14800000</v>
      </c>
      <c r="O702" s="345">
        <v>43125</v>
      </c>
      <c r="P702" s="345">
        <v>43125</v>
      </c>
    </row>
    <row r="703" spans="1:16" ht="14.25">
      <c r="A703" s="339">
        <v>2018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5</v>
      </c>
      <c r="M703" s="343">
        <v>2023</v>
      </c>
      <c r="N703" s="344">
        <v>0</v>
      </c>
      <c r="O703" s="345">
        <v>43125</v>
      </c>
      <c r="P703" s="345">
        <v>43125</v>
      </c>
    </row>
    <row r="704" spans="1:16" ht="14.25">
      <c r="A704" s="339">
        <v>2018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1</v>
      </c>
      <c r="M704" s="343">
        <v>2019</v>
      </c>
      <c r="N704" s="344">
        <v>14400000</v>
      </c>
      <c r="O704" s="345">
        <v>43125</v>
      </c>
      <c r="P704" s="345">
        <v>43125</v>
      </c>
    </row>
    <row r="705" spans="1:16" ht="14.25">
      <c r="A705" s="339">
        <v>2018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4</v>
      </c>
      <c r="M705" s="343">
        <v>2022</v>
      </c>
      <c r="N705" s="344">
        <v>0</v>
      </c>
      <c r="O705" s="345">
        <v>43125</v>
      </c>
      <c r="P705" s="345">
        <v>43125</v>
      </c>
    </row>
    <row r="706" spans="1:16" ht="14.25">
      <c r="A706" s="339">
        <v>2018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2</v>
      </c>
      <c r="M706" s="343">
        <v>2020</v>
      </c>
      <c r="N706" s="344">
        <v>1122446.05</v>
      </c>
      <c r="O706" s="345">
        <v>43125</v>
      </c>
      <c r="P706" s="345">
        <v>43125</v>
      </c>
    </row>
    <row r="707" spans="1:16" ht="14.25">
      <c r="A707" s="339">
        <v>2018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5</v>
      </c>
      <c r="M707" s="343">
        <v>2023</v>
      </c>
      <c r="N707" s="344">
        <v>0</v>
      </c>
      <c r="O707" s="345">
        <v>43125</v>
      </c>
      <c r="P707" s="345">
        <v>43125</v>
      </c>
    </row>
    <row r="708" spans="1:16" ht="14.25">
      <c r="A708" s="339">
        <v>2018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4</v>
      </c>
      <c r="M708" s="343">
        <v>2022</v>
      </c>
      <c r="N708" s="344">
        <v>0</v>
      </c>
      <c r="O708" s="345">
        <v>43125</v>
      </c>
      <c r="P708" s="345">
        <v>43125</v>
      </c>
    </row>
    <row r="709" spans="1:16" ht="14.25">
      <c r="A709" s="339">
        <v>2018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7</v>
      </c>
      <c r="M709" s="343">
        <v>2025</v>
      </c>
      <c r="N709" s="344">
        <v>0</v>
      </c>
      <c r="O709" s="345">
        <v>43125</v>
      </c>
      <c r="P709" s="345">
        <v>43125</v>
      </c>
    </row>
    <row r="710" spans="1:16" ht="14.25">
      <c r="A710" s="339">
        <v>2018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3</v>
      </c>
      <c r="M710" s="343">
        <v>2021</v>
      </c>
      <c r="N710" s="344">
        <v>5872632.01</v>
      </c>
      <c r="O710" s="345">
        <v>43125</v>
      </c>
      <c r="P710" s="345">
        <v>43125</v>
      </c>
    </row>
    <row r="711" spans="1:16" ht="14.25">
      <c r="A711" s="339">
        <v>2018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0</v>
      </c>
      <c r="M711" s="343">
        <v>2018</v>
      </c>
      <c r="N711" s="344">
        <v>6778558.93</v>
      </c>
      <c r="O711" s="345">
        <v>43125</v>
      </c>
      <c r="P711" s="345">
        <v>43125</v>
      </c>
    </row>
    <row r="712" spans="1:16" ht="14.25">
      <c r="A712" s="339">
        <v>2018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1</v>
      </c>
      <c r="M712" s="343">
        <v>2019</v>
      </c>
      <c r="N712" s="344">
        <v>2989473.46</v>
      </c>
      <c r="O712" s="345">
        <v>43125</v>
      </c>
      <c r="P712" s="345">
        <v>43125</v>
      </c>
    </row>
    <row r="713" spans="1:16" ht="14.25">
      <c r="A713" s="339">
        <v>2018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8</v>
      </c>
      <c r="M713" s="343">
        <v>2026</v>
      </c>
      <c r="N713" s="344">
        <v>0</v>
      </c>
      <c r="O713" s="345">
        <v>43125</v>
      </c>
      <c r="P713" s="345">
        <v>43125</v>
      </c>
    </row>
    <row r="714" spans="1:16" ht="14.25">
      <c r="A714" s="339">
        <v>2018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6</v>
      </c>
      <c r="M714" s="343">
        <v>2024</v>
      </c>
      <c r="N714" s="344">
        <v>0</v>
      </c>
      <c r="O714" s="345">
        <v>43125</v>
      </c>
      <c r="P714" s="345">
        <v>43125</v>
      </c>
    </row>
    <row r="715" spans="1:16" ht="14.25">
      <c r="A715" s="339">
        <v>2018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8</v>
      </c>
      <c r="M715" s="343">
        <v>2026</v>
      </c>
      <c r="N715" s="344">
        <v>0</v>
      </c>
      <c r="O715" s="345">
        <v>43125</v>
      </c>
      <c r="P715" s="345">
        <v>43125</v>
      </c>
    </row>
    <row r="716" spans="1:16" ht="14.25">
      <c r="A716" s="339">
        <v>2018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0</v>
      </c>
      <c r="M716" s="343">
        <v>2018</v>
      </c>
      <c r="N716" s="344">
        <v>6228767</v>
      </c>
      <c r="O716" s="345">
        <v>43125</v>
      </c>
      <c r="P716" s="345">
        <v>43125</v>
      </c>
    </row>
    <row r="717" spans="1:16" ht="14.25">
      <c r="A717" s="339">
        <v>2018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2</v>
      </c>
      <c r="M717" s="343">
        <v>2020</v>
      </c>
      <c r="N717" s="344">
        <v>0</v>
      </c>
      <c r="O717" s="345">
        <v>43125</v>
      </c>
      <c r="P717" s="345">
        <v>43125</v>
      </c>
    </row>
    <row r="718" spans="1:16" ht="14.25">
      <c r="A718" s="339">
        <v>2018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4</v>
      </c>
      <c r="M718" s="343">
        <v>2022</v>
      </c>
      <c r="N718" s="344">
        <v>0</v>
      </c>
      <c r="O718" s="345">
        <v>43125</v>
      </c>
      <c r="P718" s="345">
        <v>43125</v>
      </c>
    </row>
    <row r="719" spans="1:16" ht="14.25">
      <c r="A719" s="339">
        <v>2018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1</v>
      </c>
      <c r="M719" s="343">
        <v>2019</v>
      </c>
      <c r="N719" s="344">
        <v>0</v>
      </c>
      <c r="O719" s="345">
        <v>43125</v>
      </c>
      <c r="P719" s="345">
        <v>43125</v>
      </c>
    </row>
    <row r="720" spans="1:16" ht="14.25">
      <c r="A720" s="339">
        <v>2018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7</v>
      </c>
      <c r="M720" s="343">
        <v>2025</v>
      </c>
      <c r="N720" s="344">
        <v>0</v>
      </c>
      <c r="O720" s="345">
        <v>43125</v>
      </c>
      <c r="P720" s="345">
        <v>43125</v>
      </c>
    </row>
    <row r="721" spans="1:16" ht="14.25">
      <c r="A721" s="339">
        <v>2018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5</v>
      </c>
      <c r="M721" s="343">
        <v>2023</v>
      </c>
      <c r="N721" s="344">
        <v>0</v>
      </c>
      <c r="O721" s="345">
        <v>43125</v>
      </c>
      <c r="P721" s="345">
        <v>43125</v>
      </c>
    </row>
    <row r="722" spans="1:16" ht="14.25">
      <c r="A722" s="339">
        <v>2018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6</v>
      </c>
      <c r="M722" s="343">
        <v>2024</v>
      </c>
      <c r="N722" s="344">
        <v>0</v>
      </c>
      <c r="O722" s="345">
        <v>43125</v>
      </c>
      <c r="P722" s="345">
        <v>43125</v>
      </c>
    </row>
    <row r="723" spans="1:16" ht="14.25">
      <c r="A723" s="339">
        <v>2018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3</v>
      </c>
      <c r="M723" s="343">
        <v>2021</v>
      </c>
      <c r="N723" s="344">
        <v>0</v>
      </c>
      <c r="O723" s="345">
        <v>43125</v>
      </c>
      <c r="P723" s="345">
        <v>43125</v>
      </c>
    </row>
    <row r="724" spans="1:16" ht="14.25">
      <c r="A724" s="339">
        <v>2018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6</v>
      </c>
      <c r="M724" s="343">
        <v>2024</v>
      </c>
      <c r="N724" s="344">
        <v>0</v>
      </c>
      <c r="O724" s="345">
        <v>43125</v>
      </c>
      <c r="P724" s="345">
        <v>43125</v>
      </c>
    </row>
    <row r="725" spans="1:16" ht="14.25">
      <c r="A725" s="339">
        <v>2018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1</v>
      </c>
      <c r="M725" s="343">
        <v>2019</v>
      </c>
      <c r="N725" s="344">
        <v>0</v>
      </c>
      <c r="O725" s="345">
        <v>43125</v>
      </c>
      <c r="P725" s="345">
        <v>43125</v>
      </c>
    </row>
    <row r="726" spans="1:16" ht="14.25">
      <c r="A726" s="339">
        <v>2018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5</v>
      </c>
      <c r="M726" s="343">
        <v>2023</v>
      </c>
      <c r="N726" s="344">
        <v>0</v>
      </c>
      <c r="O726" s="345">
        <v>43125</v>
      </c>
      <c r="P726" s="345">
        <v>43125</v>
      </c>
    </row>
    <row r="727" spans="1:16" ht="14.25">
      <c r="A727" s="339">
        <v>2018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2018</v>
      </c>
      <c r="N727" s="344">
        <v>0</v>
      </c>
      <c r="O727" s="345">
        <v>43125</v>
      </c>
      <c r="P727" s="345">
        <v>43125</v>
      </c>
    </row>
    <row r="728" spans="1:16" ht="14.25">
      <c r="A728" s="339">
        <v>2018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7</v>
      </c>
      <c r="M728" s="343">
        <v>2025</v>
      </c>
      <c r="N728" s="344">
        <v>0</v>
      </c>
      <c r="O728" s="345">
        <v>43125</v>
      </c>
      <c r="P728" s="345">
        <v>43125</v>
      </c>
    </row>
    <row r="729" spans="1:16" ht="14.25">
      <c r="A729" s="339">
        <v>2018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8</v>
      </c>
      <c r="M729" s="343">
        <v>2026</v>
      </c>
      <c r="N729" s="344">
        <v>0</v>
      </c>
      <c r="O729" s="345">
        <v>43125</v>
      </c>
      <c r="P729" s="345">
        <v>43125</v>
      </c>
    </row>
    <row r="730" spans="1:16" ht="14.25">
      <c r="A730" s="339">
        <v>2018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2</v>
      </c>
      <c r="M730" s="343">
        <v>2020</v>
      </c>
      <c r="N730" s="344">
        <v>0</v>
      </c>
      <c r="O730" s="345">
        <v>43125</v>
      </c>
      <c r="P730" s="345">
        <v>43125</v>
      </c>
    </row>
    <row r="731" spans="1:16" ht="14.25">
      <c r="A731" s="339">
        <v>2018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3</v>
      </c>
      <c r="M731" s="343">
        <v>2021</v>
      </c>
      <c r="N731" s="344">
        <v>0</v>
      </c>
      <c r="O731" s="345">
        <v>43125</v>
      </c>
      <c r="P731" s="345">
        <v>43125</v>
      </c>
    </row>
    <row r="732" spans="1:16" ht="14.25">
      <c r="A732" s="339">
        <v>2018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4</v>
      </c>
      <c r="M732" s="343">
        <v>2022</v>
      </c>
      <c r="N732" s="344">
        <v>0</v>
      </c>
      <c r="O732" s="345">
        <v>43125</v>
      </c>
      <c r="P732" s="345">
        <v>43125</v>
      </c>
    </row>
    <row r="733" spans="1:16" ht="14.25">
      <c r="A733" s="339">
        <v>2018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4</v>
      </c>
      <c r="M733" s="343">
        <v>2022</v>
      </c>
      <c r="N733" s="344">
        <v>0</v>
      </c>
      <c r="O733" s="345">
        <v>43125</v>
      </c>
      <c r="P733" s="345">
        <v>43125</v>
      </c>
    </row>
    <row r="734" spans="1:16" ht="14.25">
      <c r="A734" s="339">
        <v>2018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3</v>
      </c>
      <c r="M734" s="343">
        <v>2021</v>
      </c>
      <c r="N734" s="344">
        <v>0</v>
      </c>
      <c r="O734" s="345">
        <v>43125</v>
      </c>
      <c r="P734" s="345">
        <v>43125</v>
      </c>
    </row>
    <row r="735" spans="1:16" ht="14.25">
      <c r="A735" s="339">
        <v>2018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7</v>
      </c>
      <c r="M735" s="343">
        <v>2025</v>
      </c>
      <c r="N735" s="344">
        <v>0</v>
      </c>
      <c r="O735" s="345">
        <v>43125</v>
      </c>
      <c r="P735" s="345">
        <v>43125</v>
      </c>
    </row>
    <row r="736" spans="1:16" ht="14.25">
      <c r="A736" s="339">
        <v>2018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2</v>
      </c>
      <c r="M736" s="343">
        <v>2020</v>
      </c>
      <c r="N736" s="344">
        <v>0</v>
      </c>
      <c r="O736" s="345">
        <v>43125</v>
      </c>
      <c r="P736" s="345">
        <v>43125</v>
      </c>
    </row>
    <row r="737" spans="1:16" ht="14.25">
      <c r="A737" s="339">
        <v>2018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1</v>
      </c>
      <c r="M737" s="343">
        <v>2019</v>
      </c>
      <c r="N737" s="344">
        <v>0</v>
      </c>
      <c r="O737" s="345">
        <v>43125</v>
      </c>
      <c r="P737" s="345">
        <v>43125</v>
      </c>
    </row>
    <row r="738" spans="1:16" ht="14.25">
      <c r="A738" s="339">
        <v>2018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0</v>
      </c>
      <c r="M738" s="343">
        <v>2018</v>
      </c>
      <c r="N738" s="344">
        <v>0</v>
      </c>
      <c r="O738" s="345">
        <v>43125</v>
      </c>
      <c r="P738" s="345">
        <v>43125</v>
      </c>
    </row>
    <row r="739" spans="1:16" ht="14.25">
      <c r="A739" s="339">
        <v>2018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6</v>
      </c>
      <c r="M739" s="343">
        <v>2024</v>
      </c>
      <c r="N739" s="344">
        <v>0</v>
      </c>
      <c r="O739" s="345">
        <v>43125</v>
      </c>
      <c r="P739" s="345">
        <v>43125</v>
      </c>
    </row>
    <row r="740" spans="1:16" ht="14.25">
      <c r="A740" s="339">
        <v>2018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5</v>
      </c>
      <c r="M740" s="343">
        <v>2023</v>
      </c>
      <c r="N740" s="344">
        <v>0</v>
      </c>
      <c r="O740" s="345">
        <v>43125</v>
      </c>
      <c r="P740" s="345">
        <v>43125</v>
      </c>
    </row>
    <row r="741" spans="1:16" ht="14.25">
      <c r="A741" s="339">
        <v>2018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8</v>
      </c>
      <c r="M741" s="343">
        <v>2026</v>
      </c>
      <c r="N741" s="344">
        <v>0</v>
      </c>
      <c r="O741" s="345">
        <v>43125</v>
      </c>
      <c r="P741" s="345">
        <v>43125</v>
      </c>
    </row>
    <row r="742" spans="1:16" ht="14.25">
      <c r="A742" s="339">
        <v>2018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2</v>
      </c>
      <c r="M742" s="343">
        <v>2020</v>
      </c>
      <c r="N742" s="344">
        <v>0</v>
      </c>
      <c r="O742" s="345">
        <v>43125</v>
      </c>
      <c r="P742" s="345">
        <v>43125</v>
      </c>
    </row>
    <row r="743" spans="1:16" ht="14.25">
      <c r="A743" s="339">
        <v>2018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7</v>
      </c>
      <c r="M743" s="343">
        <v>2025</v>
      </c>
      <c r="N743" s="344">
        <v>0</v>
      </c>
      <c r="O743" s="345">
        <v>43125</v>
      </c>
      <c r="P743" s="345">
        <v>43125</v>
      </c>
    </row>
    <row r="744" spans="1:16" ht="14.25">
      <c r="A744" s="339">
        <v>2018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0</v>
      </c>
      <c r="M744" s="343">
        <v>2018</v>
      </c>
      <c r="N744" s="344">
        <v>0</v>
      </c>
      <c r="O744" s="345">
        <v>43125</v>
      </c>
      <c r="P744" s="345">
        <v>43125</v>
      </c>
    </row>
    <row r="745" spans="1:16" ht="14.25">
      <c r="A745" s="339">
        <v>2018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4</v>
      </c>
      <c r="M745" s="343">
        <v>2022</v>
      </c>
      <c r="N745" s="344">
        <v>0</v>
      </c>
      <c r="O745" s="345">
        <v>43125</v>
      </c>
      <c r="P745" s="345">
        <v>43125</v>
      </c>
    </row>
    <row r="746" spans="1:16" ht="14.25">
      <c r="A746" s="339">
        <v>2018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5</v>
      </c>
      <c r="M746" s="343">
        <v>2023</v>
      </c>
      <c r="N746" s="344">
        <v>0</v>
      </c>
      <c r="O746" s="345">
        <v>43125</v>
      </c>
      <c r="P746" s="345">
        <v>43125</v>
      </c>
    </row>
    <row r="747" spans="1:16" ht="14.25">
      <c r="A747" s="339">
        <v>2018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8</v>
      </c>
      <c r="M747" s="343">
        <v>2026</v>
      </c>
      <c r="N747" s="344">
        <v>0</v>
      </c>
      <c r="O747" s="345">
        <v>43125</v>
      </c>
      <c r="P747" s="345">
        <v>43125</v>
      </c>
    </row>
    <row r="748" spans="1:16" ht="14.25">
      <c r="A748" s="339">
        <v>2018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3</v>
      </c>
      <c r="M748" s="343">
        <v>2021</v>
      </c>
      <c r="N748" s="344">
        <v>0</v>
      </c>
      <c r="O748" s="345">
        <v>43125</v>
      </c>
      <c r="P748" s="345">
        <v>43125</v>
      </c>
    </row>
    <row r="749" spans="1:16" ht="14.25">
      <c r="A749" s="339">
        <v>2018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1</v>
      </c>
      <c r="M749" s="343">
        <v>2019</v>
      </c>
      <c r="N749" s="344">
        <v>0</v>
      </c>
      <c r="O749" s="345">
        <v>43125</v>
      </c>
      <c r="P749" s="345">
        <v>43125</v>
      </c>
    </row>
    <row r="750" spans="1:16" ht="14.25">
      <c r="A750" s="339">
        <v>2018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6</v>
      </c>
      <c r="M750" s="343">
        <v>2024</v>
      </c>
      <c r="N750" s="344">
        <v>0</v>
      </c>
      <c r="O750" s="345">
        <v>43125</v>
      </c>
      <c r="P750" s="345">
        <v>43125</v>
      </c>
    </row>
    <row r="751" spans="1:16" ht="14.25">
      <c r="A751" s="339">
        <v>2018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8</v>
      </c>
      <c r="M751" s="343">
        <v>2026</v>
      </c>
      <c r="N751" s="344">
        <v>0</v>
      </c>
      <c r="O751" s="345">
        <v>43125</v>
      </c>
      <c r="P751" s="345">
        <v>43125</v>
      </c>
    </row>
    <row r="752" spans="1:16" ht="14.25">
      <c r="A752" s="339">
        <v>2018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1</v>
      </c>
      <c r="M752" s="343">
        <v>2019</v>
      </c>
      <c r="N752" s="344">
        <v>0</v>
      </c>
      <c r="O752" s="345">
        <v>43125</v>
      </c>
      <c r="P752" s="345">
        <v>43125</v>
      </c>
    </row>
    <row r="753" spans="1:16" ht="14.25">
      <c r="A753" s="339">
        <v>2018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3</v>
      </c>
      <c r="M753" s="343">
        <v>2021</v>
      </c>
      <c r="N753" s="344">
        <v>0</v>
      </c>
      <c r="O753" s="345">
        <v>43125</v>
      </c>
      <c r="P753" s="345">
        <v>43125</v>
      </c>
    </row>
    <row r="754" spans="1:16" ht="14.25">
      <c r="A754" s="339">
        <v>2018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0</v>
      </c>
      <c r="M754" s="343">
        <v>2018</v>
      </c>
      <c r="N754" s="344">
        <v>0</v>
      </c>
      <c r="O754" s="345">
        <v>43125</v>
      </c>
      <c r="P754" s="345">
        <v>43125</v>
      </c>
    </row>
    <row r="755" spans="1:16" ht="14.25">
      <c r="A755" s="339">
        <v>2018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6</v>
      </c>
      <c r="M755" s="343">
        <v>2024</v>
      </c>
      <c r="N755" s="344">
        <v>0</v>
      </c>
      <c r="O755" s="345">
        <v>43125</v>
      </c>
      <c r="P755" s="345">
        <v>43125</v>
      </c>
    </row>
    <row r="756" spans="1:16" ht="14.25">
      <c r="A756" s="339">
        <v>2018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2</v>
      </c>
      <c r="M756" s="343">
        <v>2020</v>
      </c>
      <c r="N756" s="344">
        <v>0</v>
      </c>
      <c r="O756" s="345">
        <v>43125</v>
      </c>
      <c r="P756" s="345">
        <v>43125</v>
      </c>
    </row>
    <row r="757" spans="1:16" ht="14.25">
      <c r="A757" s="339">
        <v>2018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4</v>
      </c>
      <c r="M757" s="343">
        <v>2022</v>
      </c>
      <c r="N757" s="344">
        <v>0</v>
      </c>
      <c r="O757" s="345">
        <v>43125</v>
      </c>
      <c r="P757" s="345">
        <v>43125</v>
      </c>
    </row>
    <row r="758" spans="1:16" ht="14.25">
      <c r="A758" s="339">
        <v>2018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7</v>
      </c>
      <c r="M758" s="343">
        <v>2025</v>
      </c>
      <c r="N758" s="344">
        <v>0</v>
      </c>
      <c r="O758" s="345">
        <v>43125</v>
      </c>
      <c r="P758" s="345">
        <v>43125</v>
      </c>
    </row>
    <row r="759" spans="1:16" ht="14.25">
      <c r="A759" s="339">
        <v>2018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5</v>
      </c>
      <c r="M759" s="343">
        <v>2023</v>
      </c>
      <c r="N759" s="344">
        <v>0</v>
      </c>
      <c r="O759" s="345">
        <v>43125</v>
      </c>
      <c r="P759" s="345">
        <v>43125</v>
      </c>
    </row>
    <row r="760" spans="1:16" ht="14.25">
      <c r="A760" s="339">
        <v>2018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1</v>
      </c>
      <c r="M760" s="343">
        <v>2019</v>
      </c>
      <c r="N760" s="344">
        <v>1860004</v>
      </c>
      <c r="O760" s="345">
        <v>43125</v>
      </c>
      <c r="P760" s="345">
        <v>43125</v>
      </c>
    </row>
    <row r="761" spans="1:16" ht="14.25">
      <c r="A761" s="339">
        <v>2018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2</v>
      </c>
      <c r="M761" s="343">
        <v>2020</v>
      </c>
      <c r="N761" s="344">
        <v>2210004</v>
      </c>
      <c r="O761" s="345">
        <v>43125</v>
      </c>
      <c r="P761" s="345">
        <v>43125</v>
      </c>
    </row>
    <row r="762" spans="1:16" ht="14.25">
      <c r="A762" s="339">
        <v>2018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4</v>
      </c>
      <c r="M762" s="343">
        <v>2022</v>
      </c>
      <c r="N762" s="344">
        <v>2250004</v>
      </c>
      <c r="O762" s="345">
        <v>43125</v>
      </c>
      <c r="P762" s="345">
        <v>43125</v>
      </c>
    </row>
    <row r="763" spans="1:16" ht="14.25">
      <c r="A763" s="339">
        <v>2018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3</v>
      </c>
      <c r="M763" s="343">
        <v>2021</v>
      </c>
      <c r="N763" s="344">
        <v>2210004</v>
      </c>
      <c r="O763" s="345">
        <v>43125</v>
      </c>
      <c r="P763" s="345">
        <v>43125</v>
      </c>
    </row>
    <row r="764" spans="1:16" ht="14.25">
      <c r="A764" s="339">
        <v>2018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6</v>
      </c>
      <c r="M764" s="343">
        <v>2024</v>
      </c>
      <c r="N764" s="344">
        <v>1250000</v>
      </c>
      <c r="O764" s="345">
        <v>43125</v>
      </c>
      <c r="P764" s="345">
        <v>43125</v>
      </c>
    </row>
    <row r="765" spans="1:16" ht="14.25">
      <c r="A765" s="339">
        <v>2018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0</v>
      </c>
      <c r="M765" s="343">
        <v>2018</v>
      </c>
      <c r="N765" s="344">
        <v>0</v>
      </c>
      <c r="O765" s="345">
        <v>43125</v>
      </c>
      <c r="P765" s="345">
        <v>43125</v>
      </c>
    </row>
    <row r="766" spans="1:16" ht="14.25">
      <c r="A766" s="339">
        <v>2018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7</v>
      </c>
      <c r="M766" s="343">
        <v>2025</v>
      </c>
      <c r="N766" s="344">
        <v>1085316.79</v>
      </c>
      <c r="O766" s="345">
        <v>43125</v>
      </c>
      <c r="P766" s="345">
        <v>43125</v>
      </c>
    </row>
    <row r="767" spans="1:16" ht="14.25">
      <c r="A767" s="339">
        <v>2018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8</v>
      </c>
      <c r="M767" s="343">
        <v>2026</v>
      </c>
      <c r="N767" s="344">
        <v>1198341.68</v>
      </c>
      <c r="O767" s="345">
        <v>43125</v>
      </c>
      <c r="P767" s="345">
        <v>43125</v>
      </c>
    </row>
    <row r="768" spans="1:16" ht="14.25">
      <c r="A768" s="339">
        <v>2018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5</v>
      </c>
      <c r="M768" s="343">
        <v>2023</v>
      </c>
      <c r="N768" s="344">
        <v>2418000</v>
      </c>
      <c r="O768" s="345">
        <v>43125</v>
      </c>
      <c r="P768" s="345">
        <v>43125</v>
      </c>
    </row>
    <row r="769" spans="1:16" ht="14.25">
      <c r="A769" s="339">
        <v>2018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1</v>
      </c>
      <c r="M769" s="343">
        <v>2019</v>
      </c>
      <c r="N769" s="344">
        <v>6353993.15</v>
      </c>
      <c r="O769" s="345">
        <v>43125</v>
      </c>
      <c r="P769" s="345">
        <v>43125</v>
      </c>
    </row>
    <row r="770" spans="1:16" ht="14.25">
      <c r="A770" s="339">
        <v>2018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8</v>
      </c>
      <c r="M770" s="343">
        <v>2026</v>
      </c>
      <c r="N770" s="344">
        <v>0</v>
      </c>
      <c r="O770" s="345">
        <v>43125</v>
      </c>
      <c r="P770" s="345">
        <v>43125</v>
      </c>
    </row>
    <row r="771" spans="1:16" ht="14.25">
      <c r="A771" s="339">
        <v>2018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7</v>
      </c>
      <c r="M771" s="343">
        <v>2025</v>
      </c>
      <c r="N771" s="344">
        <v>0</v>
      </c>
      <c r="O771" s="345">
        <v>43125</v>
      </c>
      <c r="P771" s="345">
        <v>43125</v>
      </c>
    </row>
    <row r="772" spans="1:16" ht="14.25">
      <c r="A772" s="339">
        <v>2018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6</v>
      </c>
      <c r="M772" s="343">
        <v>2024</v>
      </c>
      <c r="N772" s="344">
        <v>0</v>
      </c>
      <c r="O772" s="345">
        <v>43125</v>
      </c>
      <c r="P772" s="345">
        <v>43125</v>
      </c>
    </row>
    <row r="773" spans="1:16" ht="14.25">
      <c r="A773" s="339">
        <v>2018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5</v>
      </c>
      <c r="M773" s="343">
        <v>2023</v>
      </c>
      <c r="N773" s="344">
        <v>0</v>
      </c>
      <c r="O773" s="345">
        <v>43125</v>
      </c>
      <c r="P773" s="345">
        <v>43125</v>
      </c>
    </row>
    <row r="774" spans="1:16" ht="14.25">
      <c r="A774" s="339">
        <v>2018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0</v>
      </c>
      <c r="M774" s="343">
        <v>2018</v>
      </c>
      <c r="N774" s="344">
        <v>11348850.95</v>
      </c>
      <c r="O774" s="345">
        <v>43125</v>
      </c>
      <c r="P774" s="345">
        <v>43125</v>
      </c>
    </row>
    <row r="775" spans="1:16" ht="14.25">
      <c r="A775" s="339">
        <v>2018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4</v>
      </c>
      <c r="M775" s="343">
        <v>2022</v>
      </c>
      <c r="N775" s="344">
        <v>0</v>
      </c>
      <c r="O775" s="345">
        <v>43125</v>
      </c>
      <c r="P775" s="345">
        <v>43125</v>
      </c>
    </row>
    <row r="776" spans="1:16" ht="14.25">
      <c r="A776" s="339">
        <v>2018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3</v>
      </c>
      <c r="M776" s="343">
        <v>2021</v>
      </c>
      <c r="N776" s="344">
        <v>2977629.81</v>
      </c>
      <c r="O776" s="345">
        <v>43125</v>
      </c>
      <c r="P776" s="345">
        <v>43125</v>
      </c>
    </row>
    <row r="777" spans="1:16" ht="14.25">
      <c r="A777" s="339">
        <v>2018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2</v>
      </c>
      <c r="M777" s="343">
        <v>2020</v>
      </c>
      <c r="N777" s="344">
        <v>617916.14</v>
      </c>
      <c r="O777" s="345">
        <v>43125</v>
      </c>
      <c r="P777" s="345">
        <v>43125</v>
      </c>
    </row>
    <row r="778" spans="1:16" ht="14.25">
      <c r="A778" s="339">
        <v>2018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86">FALSE</f>
        <v>0</v>
      </c>
      <c r="L778" s="342">
        <v>3</v>
      </c>
      <c r="M778" s="343">
        <v>2021</v>
      </c>
      <c r="N778" s="344">
        <v>0.0517</v>
      </c>
      <c r="O778" s="345">
        <v>43125</v>
      </c>
      <c r="P778" s="345">
        <v>43125</v>
      </c>
    </row>
    <row r="779" spans="1:16" ht="14.25">
      <c r="A779" s="339">
        <v>2018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4</v>
      </c>
      <c r="M779" s="343">
        <v>2022</v>
      </c>
      <c r="N779" s="344">
        <v>0.0533</v>
      </c>
      <c r="O779" s="345">
        <v>43125</v>
      </c>
      <c r="P779" s="345">
        <v>43125</v>
      </c>
    </row>
    <row r="780" spans="1:16" ht="14.25">
      <c r="A780" s="339">
        <v>2018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29"/>
        <v>0</v>
      </c>
      <c r="L780" s="342">
        <v>0</v>
      </c>
      <c r="M780" s="343">
        <v>2018</v>
      </c>
      <c r="N780" s="344">
        <v>0.0405</v>
      </c>
      <c r="O780" s="345">
        <v>43125</v>
      </c>
      <c r="P780" s="345">
        <v>43125</v>
      </c>
    </row>
    <row r="781" spans="1:16" ht="14.25">
      <c r="A781" s="339">
        <v>2018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29"/>
        <v>0</v>
      </c>
      <c r="L781" s="342">
        <v>1</v>
      </c>
      <c r="M781" s="343">
        <v>2019</v>
      </c>
      <c r="N781" s="344">
        <v>0.0462</v>
      </c>
      <c r="O781" s="345">
        <v>43125</v>
      </c>
      <c r="P781" s="345">
        <v>43125</v>
      </c>
    </row>
    <row r="782" spans="1:16" ht="14.25">
      <c r="A782" s="339">
        <v>2018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29"/>
        <v>0</v>
      </c>
      <c r="L782" s="342">
        <v>8</v>
      </c>
      <c r="M782" s="343">
        <v>2026</v>
      </c>
      <c r="N782" s="344">
        <v>0.0255</v>
      </c>
      <c r="O782" s="345">
        <v>43125</v>
      </c>
      <c r="P782" s="345">
        <v>43125</v>
      </c>
    </row>
    <row r="783" spans="1:16" ht="14.25">
      <c r="A783" s="339">
        <v>2018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29"/>
        <v>0</v>
      </c>
      <c r="L783" s="342">
        <v>7</v>
      </c>
      <c r="M783" s="343">
        <v>2025</v>
      </c>
      <c r="N783" s="344">
        <v>0.0248</v>
      </c>
      <c r="O783" s="345">
        <v>43125</v>
      </c>
      <c r="P783" s="345">
        <v>43125</v>
      </c>
    </row>
    <row r="784" spans="1:16" ht="14.25">
      <c r="A784" s="339">
        <v>2018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29"/>
        <v>0</v>
      </c>
      <c r="L784" s="342">
        <v>2</v>
      </c>
      <c r="M784" s="343">
        <v>2020</v>
      </c>
      <c r="N784" s="344">
        <v>0.0567</v>
      </c>
      <c r="O784" s="345">
        <v>43125</v>
      </c>
      <c r="P784" s="345">
        <v>43125</v>
      </c>
    </row>
    <row r="785" spans="1:16" ht="14.25">
      <c r="A785" s="339">
        <v>2018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29"/>
        <v>0</v>
      </c>
      <c r="L785" s="342">
        <v>5</v>
      </c>
      <c r="M785" s="343">
        <v>2023</v>
      </c>
      <c r="N785" s="344">
        <v>0.0541</v>
      </c>
      <c r="O785" s="345">
        <v>43125</v>
      </c>
      <c r="P785" s="345">
        <v>43125</v>
      </c>
    </row>
    <row r="786" spans="1:16" ht="14.25">
      <c r="A786" s="339">
        <v>2018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29"/>
        <v>0</v>
      </c>
      <c r="L786" s="342">
        <v>6</v>
      </c>
      <c r="M786" s="343">
        <v>2024</v>
      </c>
      <c r="N786" s="344">
        <v>0.0296</v>
      </c>
      <c r="O786" s="345">
        <v>43125</v>
      </c>
      <c r="P786" s="345">
        <v>43125</v>
      </c>
    </row>
    <row r="787" spans="1:16" ht="14.25">
      <c r="A787" s="339">
        <v>2018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0" ref="K787:K804">TRUE</f>
        <v>1</v>
      </c>
      <c r="L787" s="342">
        <v>2</v>
      </c>
      <c r="M787" s="343">
        <v>2020</v>
      </c>
      <c r="N787" s="344">
        <v>0</v>
      </c>
      <c r="O787" s="345">
        <v>43125</v>
      </c>
      <c r="P787" s="345">
        <v>43125</v>
      </c>
    </row>
    <row r="788" spans="1:16" ht="14.25">
      <c r="A788" s="339">
        <v>2018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0"/>
        <v>1</v>
      </c>
      <c r="L788" s="342">
        <v>1</v>
      </c>
      <c r="M788" s="343">
        <v>2019</v>
      </c>
      <c r="N788" s="344">
        <v>0</v>
      </c>
      <c r="O788" s="345">
        <v>43125</v>
      </c>
      <c r="P788" s="345">
        <v>43125</v>
      </c>
    </row>
    <row r="789" spans="1:16" ht="14.25">
      <c r="A789" s="339">
        <v>2018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0"/>
        <v>1</v>
      </c>
      <c r="L789" s="342">
        <v>8</v>
      </c>
      <c r="M789" s="343">
        <v>2026</v>
      </c>
      <c r="N789" s="344">
        <v>0</v>
      </c>
      <c r="O789" s="345">
        <v>43125</v>
      </c>
      <c r="P789" s="345">
        <v>43125</v>
      </c>
    </row>
    <row r="790" spans="1:16" ht="14.25">
      <c r="A790" s="339">
        <v>2018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0"/>
        <v>1</v>
      </c>
      <c r="L790" s="342">
        <v>5</v>
      </c>
      <c r="M790" s="343">
        <v>2023</v>
      </c>
      <c r="N790" s="344">
        <v>0</v>
      </c>
      <c r="O790" s="345">
        <v>43125</v>
      </c>
      <c r="P790" s="345">
        <v>43125</v>
      </c>
    </row>
    <row r="791" spans="1:16" ht="14.25">
      <c r="A791" s="339">
        <v>2018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0"/>
        <v>1</v>
      </c>
      <c r="L791" s="342">
        <v>6</v>
      </c>
      <c r="M791" s="343">
        <v>2024</v>
      </c>
      <c r="N791" s="344">
        <v>0</v>
      </c>
      <c r="O791" s="345">
        <v>43125</v>
      </c>
      <c r="P791" s="345">
        <v>43125</v>
      </c>
    </row>
    <row r="792" spans="1:16" ht="14.25">
      <c r="A792" s="339">
        <v>2018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0"/>
        <v>1</v>
      </c>
      <c r="L792" s="342">
        <v>0</v>
      </c>
      <c r="M792" s="343">
        <v>2018</v>
      </c>
      <c r="N792" s="344">
        <v>0</v>
      </c>
      <c r="O792" s="345">
        <v>43125</v>
      </c>
      <c r="P792" s="345">
        <v>43125</v>
      </c>
    </row>
    <row r="793" spans="1:16" ht="14.25">
      <c r="A793" s="339">
        <v>2018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0"/>
        <v>1</v>
      </c>
      <c r="L793" s="342">
        <v>4</v>
      </c>
      <c r="M793" s="343">
        <v>2022</v>
      </c>
      <c r="N793" s="344">
        <v>0</v>
      </c>
      <c r="O793" s="345">
        <v>43125</v>
      </c>
      <c r="P793" s="345">
        <v>43125</v>
      </c>
    </row>
    <row r="794" spans="1:16" ht="14.25">
      <c r="A794" s="339">
        <v>2018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0"/>
        <v>1</v>
      </c>
      <c r="L794" s="342">
        <v>3</v>
      </c>
      <c r="M794" s="343">
        <v>2021</v>
      </c>
      <c r="N794" s="344">
        <v>0</v>
      </c>
      <c r="O794" s="345">
        <v>43125</v>
      </c>
      <c r="P794" s="345">
        <v>43125</v>
      </c>
    </row>
    <row r="795" spans="1:16" ht="14.25">
      <c r="A795" s="339">
        <v>2018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0"/>
        <v>1</v>
      </c>
      <c r="L795" s="342">
        <v>7</v>
      </c>
      <c r="M795" s="343">
        <v>2025</v>
      </c>
      <c r="N795" s="344">
        <v>0</v>
      </c>
      <c r="O795" s="345">
        <v>43125</v>
      </c>
      <c r="P795" s="345">
        <v>43125</v>
      </c>
    </row>
    <row r="796" spans="1:16" ht="14.25">
      <c r="A796" s="339">
        <v>2018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0"/>
        <v>1</v>
      </c>
      <c r="L796" s="342">
        <v>6</v>
      </c>
      <c r="M796" s="343">
        <v>2024</v>
      </c>
      <c r="N796" s="344">
        <v>0</v>
      </c>
      <c r="O796" s="345">
        <v>43125</v>
      </c>
      <c r="P796" s="345">
        <v>43125</v>
      </c>
    </row>
    <row r="797" spans="1:16" ht="14.25">
      <c r="A797" s="339">
        <v>2018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0"/>
        <v>1</v>
      </c>
      <c r="L797" s="342">
        <v>1</v>
      </c>
      <c r="M797" s="343">
        <v>2019</v>
      </c>
      <c r="N797" s="344">
        <v>10700000</v>
      </c>
      <c r="O797" s="345">
        <v>43125</v>
      </c>
      <c r="P797" s="345">
        <v>43125</v>
      </c>
    </row>
    <row r="798" spans="1:16" ht="14.25">
      <c r="A798" s="339">
        <v>2018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0"/>
        <v>1</v>
      </c>
      <c r="L798" s="342">
        <v>3</v>
      </c>
      <c r="M798" s="343">
        <v>2021</v>
      </c>
      <c r="N798" s="344">
        <v>11700000</v>
      </c>
      <c r="O798" s="345">
        <v>43125</v>
      </c>
      <c r="P798" s="345">
        <v>43125</v>
      </c>
    </row>
    <row r="799" spans="1:16" ht="14.25">
      <c r="A799" s="339">
        <v>2018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0"/>
        <v>1</v>
      </c>
      <c r="L799" s="342">
        <v>5</v>
      </c>
      <c r="M799" s="343">
        <v>2023</v>
      </c>
      <c r="N799" s="344">
        <v>0</v>
      </c>
      <c r="O799" s="345">
        <v>43125</v>
      </c>
      <c r="P799" s="345">
        <v>43125</v>
      </c>
    </row>
    <row r="800" spans="1:16" ht="14.25">
      <c r="A800" s="339">
        <v>2018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0"/>
        <v>1</v>
      </c>
      <c r="L800" s="342">
        <v>2</v>
      </c>
      <c r="M800" s="343">
        <v>2020</v>
      </c>
      <c r="N800" s="344">
        <v>11200000</v>
      </c>
      <c r="O800" s="345">
        <v>43125</v>
      </c>
      <c r="P800" s="345">
        <v>43125</v>
      </c>
    </row>
    <row r="801" spans="1:16" ht="14.25">
      <c r="A801" s="339">
        <v>2018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0"/>
        <v>1</v>
      </c>
      <c r="L801" s="342">
        <v>8</v>
      </c>
      <c r="M801" s="343">
        <v>2026</v>
      </c>
      <c r="N801" s="344">
        <v>0</v>
      </c>
      <c r="O801" s="345">
        <v>43125</v>
      </c>
      <c r="P801" s="345">
        <v>43125</v>
      </c>
    </row>
    <row r="802" spans="1:16" ht="14.25">
      <c r="A802" s="339">
        <v>2018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0"/>
        <v>1</v>
      </c>
      <c r="L802" s="342">
        <v>0</v>
      </c>
      <c r="M802" s="343">
        <v>2018</v>
      </c>
      <c r="N802" s="344">
        <v>10192000</v>
      </c>
      <c r="O802" s="345">
        <v>43125</v>
      </c>
      <c r="P802" s="345">
        <v>43125</v>
      </c>
    </row>
    <row r="803" spans="1:16" ht="14.25">
      <c r="A803" s="339">
        <v>2018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0"/>
        <v>1</v>
      </c>
      <c r="L803" s="342">
        <v>7</v>
      </c>
      <c r="M803" s="343">
        <v>2025</v>
      </c>
      <c r="N803" s="344">
        <v>0</v>
      </c>
      <c r="O803" s="345">
        <v>43125</v>
      </c>
      <c r="P803" s="345">
        <v>43125</v>
      </c>
    </row>
    <row r="804" spans="1:16" ht="14.25">
      <c r="A804" s="339">
        <v>2018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0"/>
        <v>1</v>
      </c>
      <c r="L804" s="342">
        <v>4</v>
      </c>
      <c r="M804" s="343">
        <v>2022</v>
      </c>
      <c r="N804" s="344">
        <v>0</v>
      </c>
      <c r="O804" s="345">
        <v>43125</v>
      </c>
      <c r="P804" s="345">
        <v>43125</v>
      </c>
    </row>
    <row r="805" spans="1:16" ht="14.25">
      <c r="A805" s="339">
        <v>2018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1" ref="K805:K813">FALSE</f>
        <v>0</v>
      </c>
      <c r="L805" s="342">
        <v>0</v>
      </c>
      <c r="M805" s="343">
        <v>2018</v>
      </c>
      <c r="N805" s="344">
        <v>-320137.68</v>
      </c>
      <c r="O805" s="345">
        <v>43125</v>
      </c>
      <c r="P805" s="345">
        <v>43125</v>
      </c>
    </row>
    <row r="806" spans="1:16" ht="14.25">
      <c r="A806" s="339">
        <v>2018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1"/>
        <v>0</v>
      </c>
      <c r="L806" s="342">
        <v>5</v>
      </c>
      <c r="M806" s="343">
        <v>2023</v>
      </c>
      <c r="N806" s="344">
        <v>2418000</v>
      </c>
      <c r="O806" s="345">
        <v>43125</v>
      </c>
      <c r="P806" s="345">
        <v>43125</v>
      </c>
    </row>
    <row r="807" spans="1:16" ht="14.25">
      <c r="A807" s="339">
        <v>2018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1"/>
        <v>0</v>
      </c>
      <c r="L807" s="342">
        <v>7</v>
      </c>
      <c r="M807" s="343">
        <v>2025</v>
      </c>
      <c r="N807" s="344">
        <v>1085316.79</v>
      </c>
      <c r="O807" s="345">
        <v>43125</v>
      </c>
      <c r="P807" s="345">
        <v>43125</v>
      </c>
    </row>
    <row r="808" spans="1:16" ht="14.25">
      <c r="A808" s="339">
        <v>2018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1"/>
        <v>0</v>
      </c>
      <c r="L808" s="342">
        <v>1</v>
      </c>
      <c r="M808" s="343">
        <v>2019</v>
      </c>
      <c r="N808" s="344">
        <v>1860004</v>
      </c>
      <c r="O808" s="345">
        <v>43125</v>
      </c>
      <c r="P808" s="345">
        <v>43125</v>
      </c>
    </row>
    <row r="809" spans="1:16" ht="14.25">
      <c r="A809" s="339">
        <v>2018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1"/>
        <v>0</v>
      </c>
      <c r="L809" s="342">
        <v>8</v>
      </c>
      <c r="M809" s="343">
        <v>2026</v>
      </c>
      <c r="N809" s="344">
        <v>1198341.68</v>
      </c>
      <c r="O809" s="345">
        <v>43125</v>
      </c>
      <c r="P809" s="345">
        <v>43125</v>
      </c>
    </row>
    <row r="810" spans="1:16" ht="14.25">
      <c r="A810" s="339">
        <v>2018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1"/>
        <v>0</v>
      </c>
      <c r="L810" s="342">
        <v>4</v>
      </c>
      <c r="M810" s="343">
        <v>2022</v>
      </c>
      <c r="N810" s="344">
        <v>2250004</v>
      </c>
      <c r="O810" s="345">
        <v>43125</v>
      </c>
      <c r="P810" s="345">
        <v>43125</v>
      </c>
    </row>
    <row r="811" spans="1:16" ht="14.25">
      <c r="A811" s="339">
        <v>2018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1"/>
        <v>0</v>
      </c>
      <c r="L811" s="342">
        <v>6</v>
      </c>
      <c r="M811" s="343">
        <v>2024</v>
      </c>
      <c r="N811" s="344">
        <v>1250000</v>
      </c>
      <c r="O811" s="345">
        <v>43125</v>
      </c>
      <c r="P811" s="345">
        <v>43125</v>
      </c>
    </row>
    <row r="812" spans="1:16" ht="14.25">
      <c r="A812" s="339">
        <v>2018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1"/>
        <v>0</v>
      </c>
      <c r="L812" s="342">
        <v>3</v>
      </c>
      <c r="M812" s="343">
        <v>2021</v>
      </c>
      <c r="N812" s="344">
        <v>2210004</v>
      </c>
      <c r="O812" s="345">
        <v>43125</v>
      </c>
      <c r="P812" s="345">
        <v>43125</v>
      </c>
    </row>
    <row r="813" spans="1:16" ht="14.25">
      <c r="A813" s="339">
        <v>2018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1"/>
        <v>0</v>
      </c>
      <c r="L813" s="342">
        <v>2</v>
      </c>
      <c r="M813" s="343">
        <v>2020</v>
      </c>
      <c r="N813" s="344">
        <v>2210004</v>
      </c>
      <c r="O813" s="345">
        <v>43125</v>
      </c>
      <c r="P813" s="345">
        <v>43125</v>
      </c>
    </row>
    <row r="814" spans="1:16" ht="14.25">
      <c r="A814" s="339">
        <v>2018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2" ref="K814:K867">TRUE</f>
        <v>1</v>
      </c>
      <c r="L814" s="342">
        <v>2</v>
      </c>
      <c r="M814" s="343">
        <v>2020</v>
      </c>
      <c r="N814" s="344">
        <v>0</v>
      </c>
      <c r="O814" s="345">
        <v>43125</v>
      </c>
      <c r="P814" s="345">
        <v>43125</v>
      </c>
    </row>
    <row r="815" spans="1:16" ht="14.25">
      <c r="A815" s="339">
        <v>2018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2"/>
        <v>1</v>
      </c>
      <c r="L815" s="342">
        <v>7</v>
      </c>
      <c r="M815" s="343">
        <v>2025</v>
      </c>
      <c r="N815" s="344">
        <v>0</v>
      </c>
      <c r="O815" s="345">
        <v>43125</v>
      </c>
      <c r="P815" s="345">
        <v>43125</v>
      </c>
    </row>
    <row r="816" spans="1:16" ht="14.25">
      <c r="A816" s="339">
        <v>2018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2"/>
        <v>1</v>
      </c>
      <c r="L816" s="342">
        <v>4</v>
      </c>
      <c r="M816" s="343">
        <v>2022</v>
      </c>
      <c r="N816" s="344">
        <v>0</v>
      </c>
      <c r="O816" s="345">
        <v>43125</v>
      </c>
      <c r="P816" s="345">
        <v>43125</v>
      </c>
    </row>
    <row r="817" spans="1:16" ht="14.25">
      <c r="A817" s="339">
        <v>2018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2"/>
        <v>1</v>
      </c>
      <c r="L817" s="342">
        <v>6</v>
      </c>
      <c r="M817" s="343">
        <v>2024</v>
      </c>
      <c r="N817" s="344">
        <v>0</v>
      </c>
      <c r="O817" s="345">
        <v>43125</v>
      </c>
      <c r="P817" s="345">
        <v>43125</v>
      </c>
    </row>
    <row r="818" spans="1:16" ht="14.25">
      <c r="A818" s="339">
        <v>2018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2"/>
        <v>1</v>
      </c>
      <c r="L818" s="342">
        <v>1</v>
      </c>
      <c r="M818" s="343">
        <v>2019</v>
      </c>
      <c r="N818" s="344">
        <v>0</v>
      </c>
      <c r="O818" s="345">
        <v>43125</v>
      </c>
      <c r="P818" s="345">
        <v>43125</v>
      </c>
    </row>
    <row r="819" spans="1:16" ht="14.25">
      <c r="A819" s="339">
        <v>2018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2"/>
        <v>1</v>
      </c>
      <c r="L819" s="342">
        <v>3</v>
      </c>
      <c r="M819" s="343">
        <v>2021</v>
      </c>
      <c r="N819" s="344">
        <v>0</v>
      </c>
      <c r="O819" s="345">
        <v>43125</v>
      </c>
      <c r="P819" s="345">
        <v>43125</v>
      </c>
    </row>
    <row r="820" spans="1:16" ht="14.25">
      <c r="A820" s="339">
        <v>2018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2"/>
        <v>1</v>
      </c>
      <c r="L820" s="342">
        <v>8</v>
      </c>
      <c r="M820" s="343">
        <v>2026</v>
      </c>
      <c r="N820" s="344">
        <v>0</v>
      </c>
      <c r="O820" s="345">
        <v>43125</v>
      </c>
      <c r="P820" s="345">
        <v>43125</v>
      </c>
    </row>
    <row r="821" spans="1:16" ht="14.25">
      <c r="A821" s="339">
        <v>2018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2"/>
        <v>1</v>
      </c>
      <c r="L821" s="342">
        <v>0</v>
      </c>
      <c r="M821" s="343">
        <v>2018</v>
      </c>
      <c r="N821" s="344">
        <v>0</v>
      </c>
      <c r="O821" s="345">
        <v>43125</v>
      </c>
      <c r="P821" s="345">
        <v>43125</v>
      </c>
    </row>
    <row r="822" spans="1:16" ht="14.25">
      <c r="A822" s="339">
        <v>2018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2"/>
        <v>1</v>
      </c>
      <c r="L822" s="342">
        <v>5</v>
      </c>
      <c r="M822" s="343">
        <v>2023</v>
      </c>
      <c r="N822" s="344">
        <v>0</v>
      </c>
      <c r="O822" s="345">
        <v>43125</v>
      </c>
      <c r="P822" s="345">
        <v>43125</v>
      </c>
    </row>
    <row r="823" spans="1:16" ht="14.25">
      <c r="A823" s="339">
        <v>2018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2"/>
        <v>1</v>
      </c>
      <c r="L823" s="342">
        <v>2</v>
      </c>
      <c r="M823" s="343">
        <v>2020</v>
      </c>
      <c r="N823" s="344">
        <v>5300000</v>
      </c>
      <c r="O823" s="345">
        <v>43125</v>
      </c>
      <c r="P823" s="345">
        <v>43125</v>
      </c>
    </row>
    <row r="824" spans="1:16" ht="14.25">
      <c r="A824" s="339">
        <v>2018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2"/>
        <v>1</v>
      </c>
      <c r="L824" s="342">
        <v>3</v>
      </c>
      <c r="M824" s="343">
        <v>2021</v>
      </c>
      <c r="N824" s="344">
        <v>5500000</v>
      </c>
      <c r="O824" s="345">
        <v>43125</v>
      </c>
      <c r="P824" s="345">
        <v>43125</v>
      </c>
    </row>
    <row r="825" spans="1:16" ht="14.25">
      <c r="A825" s="339">
        <v>2018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2"/>
        <v>1</v>
      </c>
      <c r="L825" s="342">
        <v>5</v>
      </c>
      <c r="M825" s="343">
        <v>2023</v>
      </c>
      <c r="N825" s="344">
        <v>0</v>
      </c>
      <c r="O825" s="345">
        <v>43125</v>
      </c>
      <c r="P825" s="345">
        <v>43125</v>
      </c>
    </row>
    <row r="826" spans="1:16" ht="14.25">
      <c r="A826" s="339">
        <v>2018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2"/>
        <v>1</v>
      </c>
      <c r="L826" s="342">
        <v>1</v>
      </c>
      <c r="M826" s="343">
        <v>2019</v>
      </c>
      <c r="N826" s="344">
        <v>5100000</v>
      </c>
      <c r="O826" s="345">
        <v>43125</v>
      </c>
      <c r="P826" s="345">
        <v>43125</v>
      </c>
    </row>
    <row r="827" spans="1:16" ht="14.25">
      <c r="A827" s="339">
        <v>2018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2"/>
        <v>1</v>
      </c>
      <c r="L827" s="342">
        <v>7</v>
      </c>
      <c r="M827" s="343">
        <v>2025</v>
      </c>
      <c r="N827" s="344">
        <v>0</v>
      </c>
      <c r="O827" s="345">
        <v>43125</v>
      </c>
      <c r="P827" s="345">
        <v>43125</v>
      </c>
    </row>
    <row r="828" spans="1:16" ht="14.25">
      <c r="A828" s="339">
        <v>2018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2"/>
        <v>1</v>
      </c>
      <c r="L828" s="342">
        <v>4</v>
      </c>
      <c r="M828" s="343">
        <v>2022</v>
      </c>
      <c r="N828" s="344">
        <v>0</v>
      </c>
      <c r="O828" s="345">
        <v>43125</v>
      </c>
      <c r="P828" s="345">
        <v>43125</v>
      </c>
    </row>
    <row r="829" spans="1:16" ht="14.25">
      <c r="A829" s="339">
        <v>2018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2"/>
        <v>1</v>
      </c>
      <c r="L829" s="342">
        <v>0</v>
      </c>
      <c r="M829" s="343">
        <v>2018</v>
      </c>
      <c r="N829" s="344">
        <v>4950000</v>
      </c>
      <c r="O829" s="345">
        <v>43125</v>
      </c>
      <c r="P829" s="345">
        <v>43125</v>
      </c>
    </row>
    <row r="830" spans="1:16" ht="14.25">
      <c r="A830" s="339">
        <v>2018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2"/>
        <v>1</v>
      </c>
      <c r="L830" s="342">
        <v>8</v>
      </c>
      <c r="M830" s="343">
        <v>2026</v>
      </c>
      <c r="N830" s="344">
        <v>0</v>
      </c>
      <c r="O830" s="345">
        <v>43125</v>
      </c>
      <c r="P830" s="345">
        <v>43125</v>
      </c>
    </row>
    <row r="831" spans="1:16" ht="14.25">
      <c r="A831" s="339">
        <v>2018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2"/>
        <v>1</v>
      </c>
      <c r="L831" s="342">
        <v>6</v>
      </c>
      <c r="M831" s="343">
        <v>2024</v>
      </c>
      <c r="N831" s="344">
        <v>0</v>
      </c>
      <c r="O831" s="345">
        <v>43125</v>
      </c>
      <c r="P831" s="345">
        <v>43125</v>
      </c>
    </row>
    <row r="832" spans="1:16" ht="14.25">
      <c r="A832" s="339">
        <v>2018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2"/>
        <v>1</v>
      </c>
      <c r="L832" s="342">
        <v>1</v>
      </c>
      <c r="M832" s="343">
        <v>2019</v>
      </c>
      <c r="N832" s="344">
        <v>0</v>
      </c>
      <c r="O832" s="345">
        <v>43125</v>
      </c>
      <c r="P832" s="345">
        <v>43125</v>
      </c>
    </row>
    <row r="833" spans="1:16" ht="14.25">
      <c r="A833" s="339">
        <v>2018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2"/>
        <v>1</v>
      </c>
      <c r="L833" s="342">
        <v>7</v>
      </c>
      <c r="M833" s="343">
        <v>2025</v>
      </c>
      <c r="N833" s="344">
        <v>0</v>
      </c>
      <c r="O833" s="345">
        <v>43125</v>
      </c>
      <c r="P833" s="345">
        <v>43125</v>
      </c>
    </row>
    <row r="834" spans="1:16" ht="14.25">
      <c r="A834" s="339">
        <v>2018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2"/>
        <v>1</v>
      </c>
      <c r="L834" s="342">
        <v>3</v>
      </c>
      <c r="M834" s="343">
        <v>2021</v>
      </c>
      <c r="N834" s="344">
        <v>0</v>
      </c>
      <c r="O834" s="345">
        <v>43125</v>
      </c>
      <c r="P834" s="345">
        <v>43125</v>
      </c>
    </row>
    <row r="835" spans="1:16" ht="14.25">
      <c r="A835" s="339">
        <v>2018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2"/>
        <v>1</v>
      </c>
      <c r="L835" s="342">
        <v>5</v>
      </c>
      <c r="M835" s="343">
        <v>2023</v>
      </c>
      <c r="N835" s="344">
        <v>0</v>
      </c>
      <c r="O835" s="345">
        <v>43125</v>
      </c>
      <c r="P835" s="345">
        <v>43125</v>
      </c>
    </row>
    <row r="836" spans="1:16" ht="14.25">
      <c r="A836" s="339">
        <v>2018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2"/>
        <v>1</v>
      </c>
      <c r="L836" s="342">
        <v>2</v>
      </c>
      <c r="M836" s="343">
        <v>2020</v>
      </c>
      <c r="N836" s="344">
        <v>0</v>
      </c>
      <c r="O836" s="345">
        <v>43125</v>
      </c>
      <c r="P836" s="345">
        <v>43125</v>
      </c>
    </row>
    <row r="837" spans="1:16" ht="14.25">
      <c r="A837" s="339">
        <v>2018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2"/>
        <v>1</v>
      </c>
      <c r="L837" s="342">
        <v>4</v>
      </c>
      <c r="M837" s="343">
        <v>2022</v>
      </c>
      <c r="N837" s="344">
        <v>0</v>
      </c>
      <c r="O837" s="345">
        <v>43125</v>
      </c>
      <c r="P837" s="345">
        <v>43125</v>
      </c>
    </row>
    <row r="838" spans="1:16" ht="14.25">
      <c r="A838" s="339">
        <v>2018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2"/>
        <v>1</v>
      </c>
      <c r="L838" s="342">
        <v>0</v>
      </c>
      <c r="M838" s="343">
        <v>2018</v>
      </c>
      <c r="N838" s="344">
        <v>0</v>
      </c>
      <c r="O838" s="345">
        <v>43125</v>
      </c>
      <c r="P838" s="345">
        <v>43125</v>
      </c>
    </row>
    <row r="839" spans="1:16" ht="14.25">
      <c r="A839" s="339">
        <v>2018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2"/>
        <v>1</v>
      </c>
      <c r="L839" s="342">
        <v>6</v>
      </c>
      <c r="M839" s="343">
        <v>2024</v>
      </c>
      <c r="N839" s="344">
        <v>0</v>
      </c>
      <c r="O839" s="345">
        <v>43125</v>
      </c>
      <c r="P839" s="345">
        <v>43125</v>
      </c>
    </row>
    <row r="840" spans="1:16" ht="14.25">
      <c r="A840" s="339">
        <v>2018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2"/>
        <v>1</v>
      </c>
      <c r="L840" s="342">
        <v>8</v>
      </c>
      <c r="M840" s="343">
        <v>2026</v>
      </c>
      <c r="N840" s="344">
        <v>0</v>
      </c>
      <c r="O840" s="345">
        <v>43125</v>
      </c>
      <c r="P840" s="345">
        <v>43125</v>
      </c>
    </row>
    <row r="841" spans="1:16" ht="14.25">
      <c r="A841" s="339">
        <v>2018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2"/>
        <v>1</v>
      </c>
      <c r="L841" s="342">
        <v>1</v>
      </c>
      <c r="M841" s="343">
        <v>2019</v>
      </c>
      <c r="N841" s="344">
        <v>0</v>
      </c>
      <c r="O841" s="345">
        <v>43125</v>
      </c>
      <c r="P841" s="345">
        <v>43125</v>
      </c>
    </row>
    <row r="842" spans="1:16" ht="14.25">
      <c r="A842" s="339">
        <v>2018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2"/>
        <v>1</v>
      </c>
      <c r="L842" s="342">
        <v>5</v>
      </c>
      <c r="M842" s="343">
        <v>2023</v>
      </c>
      <c r="N842" s="344">
        <v>0</v>
      </c>
      <c r="O842" s="345">
        <v>43125</v>
      </c>
      <c r="P842" s="345">
        <v>43125</v>
      </c>
    </row>
    <row r="843" spans="1:16" ht="14.25">
      <c r="A843" s="339">
        <v>2018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2"/>
        <v>1</v>
      </c>
      <c r="L843" s="342">
        <v>4</v>
      </c>
      <c r="M843" s="343">
        <v>2022</v>
      </c>
      <c r="N843" s="344">
        <v>0</v>
      </c>
      <c r="O843" s="345">
        <v>43125</v>
      </c>
      <c r="P843" s="345">
        <v>43125</v>
      </c>
    </row>
    <row r="844" spans="1:16" ht="14.25">
      <c r="A844" s="339">
        <v>2018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2"/>
        <v>1</v>
      </c>
      <c r="L844" s="342">
        <v>0</v>
      </c>
      <c r="M844" s="343">
        <v>2018</v>
      </c>
      <c r="N844" s="344">
        <v>0</v>
      </c>
      <c r="O844" s="345">
        <v>43125</v>
      </c>
      <c r="P844" s="345">
        <v>43125</v>
      </c>
    </row>
    <row r="845" spans="1:16" ht="14.25">
      <c r="A845" s="339">
        <v>2018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2"/>
        <v>1</v>
      </c>
      <c r="L845" s="342">
        <v>7</v>
      </c>
      <c r="M845" s="343">
        <v>2025</v>
      </c>
      <c r="N845" s="344">
        <v>0</v>
      </c>
      <c r="O845" s="345">
        <v>43125</v>
      </c>
      <c r="P845" s="345">
        <v>43125</v>
      </c>
    </row>
    <row r="846" spans="1:16" ht="14.25">
      <c r="A846" s="339">
        <v>2018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2"/>
        <v>1</v>
      </c>
      <c r="L846" s="342">
        <v>2</v>
      </c>
      <c r="M846" s="343">
        <v>2020</v>
      </c>
      <c r="N846" s="344">
        <v>0</v>
      </c>
      <c r="O846" s="345">
        <v>43125</v>
      </c>
      <c r="P846" s="345">
        <v>43125</v>
      </c>
    </row>
    <row r="847" spans="1:16" ht="14.25">
      <c r="A847" s="339">
        <v>2018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2"/>
        <v>1</v>
      </c>
      <c r="L847" s="342">
        <v>8</v>
      </c>
      <c r="M847" s="343">
        <v>2026</v>
      </c>
      <c r="N847" s="344">
        <v>0</v>
      </c>
      <c r="O847" s="345">
        <v>43125</v>
      </c>
      <c r="P847" s="345">
        <v>43125</v>
      </c>
    </row>
    <row r="848" spans="1:16" ht="14.25">
      <c r="A848" s="339">
        <v>2018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2"/>
        <v>1</v>
      </c>
      <c r="L848" s="342">
        <v>3</v>
      </c>
      <c r="M848" s="343">
        <v>2021</v>
      </c>
      <c r="N848" s="344">
        <v>0</v>
      </c>
      <c r="O848" s="345">
        <v>43125</v>
      </c>
      <c r="P848" s="345">
        <v>43125</v>
      </c>
    </row>
    <row r="849" spans="1:16" ht="14.25">
      <c r="A849" s="339">
        <v>2018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2"/>
        <v>1</v>
      </c>
      <c r="L849" s="342">
        <v>6</v>
      </c>
      <c r="M849" s="343">
        <v>2024</v>
      </c>
      <c r="N849" s="344">
        <v>0</v>
      </c>
      <c r="O849" s="345">
        <v>43125</v>
      </c>
      <c r="P849" s="345">
        <v>43125</v>
      </c>
    </row>
    <row r="850" spans="1:16" ht="14.25">
      <c r="A850" s="339">
        <v>2018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2"/>
        <v>1</v>
      </c>
      <c r="L850" s="342">
        <v>2</v>
      </c>
      <c r="M850" s="343">
        <v>2020</v>
      </c>
      <c r="N850" s="344">
        <v>0</v>
      </c>
      <c r="O850" s="345">
        <v>43125</v>
      </c>
      <c r="P850" s="345">
        <v>43125</v>
      </c>
    </row>
    <row r="851" spans="1:16" ht="14.25">
      <c r="A851" s="339">
        <v>2018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2"/>
        <v>1</v>
      </c>
      <c r="L851" s="342">
        <v>0</v>
      </c>
      <c r="M851" s="343">
        <v>2018</v>
      </c>
      <c r="N851" s="344">
        <v>0</v>
      </c>
      <c r="O851" s="345">
        <v>43125</v>
      </c>
      <c r="P851" s="345">
        <v>43125</v>
      </c>
    </row>
    <row r="852" spans="1:16" ht="14.25">
      <c r="A852" s="339">
        <v>2018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2"/>
        <v>1</v>
      </c>
      <c r="L852" s="342">
        <v>5</v>
      </c>
      <c r="M852" s="343">
        <v>2023</v>
      </c>
      <c r="N852" s="344">
        <v>0</v>
      </c>
      <c r="O852" s="345">
        <v>43125</v>
      </c>
      <c r="P852" s="345">
        <v>43125</v>
      </c>
    </row>
    <row r="853" spans="1:16" ht="14.25">
      <c r="A853" s="339">
        <v>2018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2"/>
        <v>1</v>
      </c>
      <c r="L853" s="342">
        <v>8</v>
      </c>
      <c r="M853" s="343">
        <v>2026</v>
      </c>
      <c r="N853" s="344">
        <v>0</v>
      </c>
      <c r="O853" s="345">
        <v>43125</v>
      </c>
      <c r="P853" s="345">
        <v>43125</v>
      </c>
    </row>
    <row r="854" spans="1:16" ht="14.25">
      <c r="A854" s="339">
        <v>2018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2"/>
        <v>1</v>
      </c>
      <c r="L854" s="342">
        <v>4</v>
      </c>
      <c r="M854" s="343">
        <v>2022</v>
      </c>
      <c r="N854" s="344">
        <v>0</v>
      </c>
      <c r="O854" s="345">
        <v>43125</v>
      </c>
      <c r="P854" s="345">
        <v>43125</v>
      </c>
    </row>
    <row r="855" spans="1:16" ht="14.25">
      <c r="A855" s="339">
        <v>2018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2"/>
        <v>1</v>
      </c>
      <c r="L855" s="342">
        <v>6</v>
      </c>
      <c r="M855" s="343">
        <v>2024</v>
      </c>
      <c r="N855" s="344">
        <v>0</v>
      </c>
      <c r="O855" s="345">
        <v>43125</v>
      </c>
      <c r="P855" s="345">
        <v>43125</v>
      </c>
    </row>
    <row r="856" spans="1:16" ht="14.25">
      <c r="A856" s="339">
        <v>2018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2"/>
        <v>1</v>
      </c>
      <c r="L856" s="342">
        <v>3</v>
      </c>
      <c r="M856" s="343">
        <v>2021</v>
      </c>
      <c r="N856" s="344">
        <v>0</v>
      </c>
      <c r="O856" s="345">
        <v>43125</v>
      </c>
      <c r="P856" s="345">
        <v>43125</v>
      </c>
    </row>
    <row r="857" spans="1:16" ht="14.25">
      <c r="A857" s="339">
        <v>2018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2"/>
        <v>1</v>
      </c>
      <c r="L857" s="342">
        <v>1</v>
      </c>
      <c r="M857" s="343">
        <v>2019</v>
      </c>
      <c r="N857" s="344">
        <v>0</v>
      </c>
      <c r="O857" s="345">
        <v>43125</v>
      </c>
      <c r="P857" s="345">
        <v>43125</v>
      </c>
    </row>
    <row r="858" spans="1:16" ht="14.25">
      <c r="A858" s="339">
        <v>2018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2"/>
        <v>1</v>
      </c>
      <c r="L858" s="342">
        <v>7</v>
      </c>
      <c r="M858" s="343">
        <v>2025</v>
      </c>
      <c r="N858" s="344">
        <v>0</v>
      </c>
      <c r="O858" s="345">
        <v>43125</v>
      </c>
      <c r="P858" s="345">
        <v>43125</v>
      </c>
    </row>
    <row r="859" spans="1:16" ht="14.25">
      <c r="A859" s="339">
        <v>2018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2"/>
        <v>1</v>
      </c>
      <c r="L859" s="342">
        <v>5</v>
      </c>
      <c r="M859" s="343">
        <v>2023</v>
      </c>
      <c r="N859" s="344">
        <v>0</v>
      </c>
      <c r="O859" s="345">
        <v>43125</v>
      </c>
      <c r="P859" s="345">
        <v>43125</v>
      </c>
    </row>
    <row r="860" spans="1:16" ht="14.25">
      <c r="A860" s="339">
        <v>2018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2"/>
        <v>1</v>
      </c>
      <c r="L860" s="342">
        <v>8</v>
      </c>
      <c r="M860" s="343">
        <v>2026</v>
      </c>
      <c r="N860" s="344">
        <v>0</v>
      </c>
      <c r="O860" s="345">
        <v>43125</v>
      </c>
      <c r="P860" s="345">
        <v>43125</v>
      </c>
    </row>
    <row r="861" spans="1:16" ht="14.25">
      <c r="A861" s="339">
        <v>2018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2"/>
        <v>1</v>
      </c>
      <c r="L861" s="342">
        <v>2</v>
      </c>
      <c r="M861" s="343">
        <v>2020</v>
      </c>
      <c r="N861" s="344">
        <v>12240</v>
      </c>
      <c r="O861" s="345">
        <v>43125</v>
      </c>
      <c r="P861" s="345">
        <v>43125</v>
      </c>
    </row>
    <row r="862" spans="1:16" ht="14.25">
      <c r="A862" s="339">
        <v>2018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2"/>
        <v>1</v>
      </c>
      <c r="L862" s="342">
        <v>6</v>
      </c>
      <c r="M862" s="343">
        <v>2024</v>
      </c>
      <c r="N862" s="344">
        <v>0</v>
      </c>
      <c r="O862" s="345">
        <v>43125</v>
      </c>
      <c r="P862" s="345">
        <v>43125</v>
      </c>
    </row>
    <row r="863" spans="1:16" ht="14.25">
      <c r="A863" s="339">
        <v>2018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2"/>
        <v>1</v>
      </c>
      <c r="L863" s="342">
        <v>1</v>
      </c>
      <c r="M863" s="343">
        <v>2019</v>
      </c>
      <c r="N863" s="344">
        <v>12240</v>
      </c>
      <c r="O863" s="345">
        <v>43125</v>
      </c>
      <c r="P863" s="345">
        <v>43125</v>
      </c>
    </row>
    <row r="864" spans="1:16" ht="14.25">
      <c r="A864" s="339">
        <v>2018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2"/>
        <v>1</v>
      </c>
      <c r="L864" s="342">
        <v>3</v>
      </c>
      <c r="M864" s="343">
        <v>2021</v>
      </c>
      <c r="N864" s="344">
        <v>17680</v>
      </c>
      <c r="O864" s="345">
        <v>43125</v>
      </c>
      <c r="P864" s="345">
        <v>43125</v>
      </c>
    </row>
    <row r="865" spans="1:16" ht="14.25">
      <c r="A865" s="339">
        <v>2018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2"/>
        <v>1</v>
      </c>
      <c r="L865" s="342">
        <v>7</v>
      </c>
      <c r="M865" s="343">
        <v>2025</v>
      </c>
      <c r="N865" s="344">
        <v>0</v>
      </c>
      <c r="O865" s="345">
        <v>43125</v>
      </c>
      <c r="P865" s="345">
        <v>43125</v>
      </c>
    </row>
    <row r="866" spans="1:16" ht="14.25">
      <c r="A866" s="339">
        <v>2018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2"/>
        <v>1</v>
      </c>
      <c r="L866" s="342">
        <v>0</v>
      </c>
      <c r="M866" s="343">
        <v>2018</v>
      </c>
      <c r="N866" s="344">
        <v>131258.67</v>
      </c>
      <c r="O866" s="345">
        <v>43125</v>
      </c>
      <c r="P866" s="345">
        <v>43125</v>
      </c>
    </row>
    <row r="867" spans="1:16" ht="14.25">
      <c r="A867" s="339">
        <v>2018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2"/>
        <v>1</v>
      </c>
      <c r="L867" s="342">
        <v>4</v>
      </c>
      <c r="M867" s="343">
        <v>2022</v>
      </c>
      <c r="N867" s="344">
        <v>0</v>
      </c>
      <c r="O867" s="345">
        <v>43125</v>
      </c>
      <c r="P867" s="345">
        <v>43125</v>
      </c>
    </row>
    <row r="868" spans="1:16" ht="14.25">
      <c r="A868" s="339">
        <v>2018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3" ref="K868:K875">FALSE</f>
        <v>0</v>
      </c>
      <c r="L868" s="342">
        <v>2</v>
      </c>
      <c r="M868" s="343">
        <v>2020</v>
      </c>
      <c r="N868" s="344">
        <v>0</v>
      </c>
      <c r="O868" s="345">
        <v>43125</v>
      </c>
      <c r="P868" s="345">
        <v>43125</v>
      </c>
    </row>
    <row r="869" spans="1:16" ht="14.25">
      <c r="A869" s="339">
        <v>2018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3"/>
        <v>0</v>
      </c>
      <c r="L869" s="342">
        <v>1</v>
      </c>
      <c r="M869" s="343">
        <v>2019</v>
      </c>
      <c r="N869" s="344">
        <v>0</v>
      </c>
      <c r="O869" s="345">
        <v>43125</v>
      </c>
      <c r="P869" s="345">
        <v>43125</v>
      </c>
    </row>
    <row r="870" spans="1:16" ht="14.25">
      <c r="A870" s="339">
        <v>2018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3"/>
        <v>0</v>
      </c>
      <c r="L870" s="342">
        <v>6</v>
      </c>
      <c r="M870" s="343">
        <v>2024</v>
      </c>
      <c r="N870" s="344">
        <v>0</v>
      </c>
      <c r="O870" s="345">
        <v>43125</v>
      </c>
      <c r="P870" s="345">
        <v>43125</v>
      </c>
    </row>
    <row r="871" spans="1:16" ht="14.25">
      <c r="A871" s="339">
        <v>2018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3"/>
        <v>0</v>
      </c>
      <c r="L871" s="342">
        <v>8</v>
      </c>
      <c r="M871" s="343">
        <v>2026</v>
      </c>
      <c r="N871" s="344">
        <v>0</v>
      </c>
      <c r="O871" s="345">
        <v>43125</v>
      </c>
      <c r="P871" s="345">
        <v>43125</v>
      </c>
    </row>
    <row r="872" spans="1:16" ht="14.25">
      <c r="A872" s="339">
        <v>2018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3"/>
        <v>0</v>
      </c>
      <c r="L872" s="342">
        <v>0</v>
      </c>
      <c r="M872" s="343">
        <v>2018</v>
      </c>
      <c r="N872" s="344">
        <v>0</v>
      </c>
      <c r="O872" s="345">
        <v>43125</v>
      </c>
      <c r="P872" s="345">
        <v>43125</v>
      </c>
    </row>
    <row r="873" spans="1:16" ht="14.25">
      <c r="A873" s="339">
        <v>2018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3"/>
        <v>0</v>
      </c>
      <c r="L873" s="342">
        <v>7</v>
      </c>
      <c r="M873" s="343">
        <v>2025</v>
      </c>
      <c r="N873" s="344">
        <v>0</v>
      </c>
      <c r="O873" s="345">
        <v>43125</v>
      </c>
      <c r="P873" s="345">
        <v>43125</v>
      </c>
    </row>
    <row r="874" spans="1:16" ht="14.25">
      <c r="A874" s="339">
        <v>2018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3"/>
        <v>0</v>
      </c>
      <c r="L874" s="342">
        <v>3</v>
      </c>
      <c r="M874" s="343">
        <v>2021</v>
      </c>
      <c r="N874" s="344">
        <v>0</v>
      </c>
      <c r="O874" s="345">
        <v>43125</v>
      </c>
      <c r="P874" s="345">
        <v>43125</v>
      </c>
    </row>
    <row r="875" spans="1:16" ht="14.25">
      <c r="A875" s="339">
        <v>2018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3"/>
        <v>0</v>
      </c>
      <c r="L875" s="342">
        <v>4</v>
      </c>
      <c r="M875" s="343">
        <v>2022</v>
      </c>
      <c r="N875" s="344">
        <v>0</v>
      </c>
      <c r="O875" s="345">
        <v>43125</v>
      </c>
      <c r="P875" s="345">
        <v>43125</v>
      </c>
    </row>
    <row r="876" spans="1:16" ht="14.25">
      <c r="A876" s="339">
        <v>2018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410</v>
      </c>
      <c r="H876" s="341">
        <v>8</v>
      </c>
      <c r="I876" s="341"/>
      <c r="J876" s="341" t="s">
        <v>108</v>
      </c>
      <c r="K876" s="342" t="b">
        <f>TRUE</f>
        <v>1</v>
      </c>
      <c r="L876" s="342">
        <v>1</v>
      </c>
      <c r="M876" s="343">
        <v>2019</v>
      </c>
      <c r="N876" s="344">
        <v>0</v>
      </c>
      <c r="O876" s="345">
        <v>43125</v>
      </c>
      <c r="P876" s="345">
        <v>43125</v>
      </c>
    </row>
    <row r="877" spans="1:16" ht="14.25">
      <c r="A877" s="339">
        <v>2018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>FALSE</f>
        <v>0</v>
      </c>
      <c r="L877" s="342">
        <v>5</v>
      </c>
      <c r="M877" s="343">
        <v>2023</v>
      </c>
      <c r="N877" s="344">
        <v>0</v>
      </c>
      <c r="O877" s="345">
        <v>43125</v>
      </c>
      <c r="P877" s="345">
        <v>43125</v>
      </c>
    </row>
    <row r="878" spans="1:16" ht="14.25">
      <c r="A878" s="339">
        <v>2018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aca="true" t="shared" si="34" ref="K878:K894">TRUE</f>
        <v>1</v>
      </c>
      <c r="L878" s="342">
        <v>5</v>
      </c>
      <c r="M878" s="343">
        <v>2023</v>
      </c>
      <c r="N878" s="344">
        <v>0</v>
      </c>
      <c r="O878" s="345">
        <v>43125</v>
      </c>
      <c r="P878" s="345">
        <v>43125</v>
      </c>
    </row>
    <row r="879" spans="1:16" ht="14.25">
      <c r="A879" s="339">
        <v>2018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4"/>
        <v>1</v>
      </c>
      <c r="L879" s="342">
        <v>3</v>
      </c>
      <c r="M879" s="343">
        <v>2021</v>
      </c>
      <c r="N879" s="344">
        <v>2907462.21</v>
      </c>
      <c r="O879" s="345">
        <v>43125</v>
      </c>
      <c r="P879" s="345">
        <v>43125</v>
      </c>
    </row>
    <row r="880" spans="1:16" ht="14.25">
      <c r="A880" s="339">
        <v>2018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4"/>
        <v>1</v>
      </c>
      <c r="L880" s="342">
        <v>7</v>
      </c>
      <c r="M880" s="343">
        <v>2025</v>
      </c>
      <c r="N880" s="344">
        <v>0</v>
      </c>
      <c r="O880" s="345">
        <v>43125</v>
      </c>
      <c r="P880" s="345">
        <v>43125</v>
      </c>
    </row>
    <row r="881" spans="1:16" ht="14.25">
      <c r="A881" s="339">
        <v>2018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4"/>
        <v>1</v>
      </c>
      <c r="L881" s="342">
        <v>2</v>
      </c>
      <c r="M881" s="343">
        <v>2020</v>
      </c>
      <c r="N881" s="344">
        <v>512589.91</v>
      </c>
      <c r="O881" s="345">
        <v>43125</v>
      </c>
      <c r="P881" s="345">
        <v>43125</v>
      </c>
    </row>
    <row r="882" spans="1:16" ht="14.25">
      <c r="A882" s="339">
        <v>2018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4"/>
        <v>1</v>
      </c>
      <c r="L882" s="342">
        <v>8</v>
      </c>
      <c r="M882" s="343">
        <v>2026</v>
      </c>
      <c r="N882" s="344">
        <v>0</v>
      </c>
      <c r="O882" s="345">
        <v>43125</v>
      </c>
      <c r="P882" s="345">
        <v>43125</v>
      </c>
    </row>
    <row r="883" spans="1:16" ht="14.25">
      <c r="A883" s="339">
        <v>2018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4"/>
        <v>1</v>
      </c>
      <c r="L883" s="342">
        <v>4</v>
      </c>
      <c r="M883" s="343">
        <v>2022</v>
      </c>
      <c r="N883" s="344">
        <v>0</v>
      </c>
      <c r="O883" s="345">
        <v>43125</v>
      </c>
      <c r="P883" s="345">
        <v>43125</v>
      </c>
    </row>
    <row r="884" spans="1:16" ht="14.25">
      <c r="A884" s="339">
        <v>2018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4"/>
        <v>1</v>
      </c>
      <c r="L884" s="342">
        <v>1</v>
      </c>
      <c r="M884" s="343">
        <v>2019</v>
      </c>
      <c r="N884" s="344">
        <v>1823829.31</v>
      </c>
      <c r="O884" s="345">
        <v>43125</v>
      </c>
      <c r="P884" s="345">
        <v>43125</v>
      </c>
    </row>
    <row r="885" spans="1:16" ht="14.25">
      <c r="A885" s="339">
        <v>2018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4"/>
        <v>1</v>
      </c>
      <c r="L885" s="342">
        <v>0</v>
      </c>
      <c r="M885" s="343">
        <v>2018</v>
      </c>
      <c r="N885" s="344">
        <v>2783221.68</v>
      </c>
      <c r="O885" s="345">
        <v>43125</v>
      </c>
      <c r="P885" s="345">
        <v>43125</v>
      </c>
    </row>
    <row r="886" spans="1:16" ht="14.25">
      <c r="A886" s="339">
        <v>2018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4"/>
        <v>1</v>
      </c>
      <c r="L886" s="342">
        <v>6</v>
      </c>
      <c r="M886" s="343">
        <v>2024</v>
      </c>
      <c r="N886" s="344">
        <v>0</v>
      </c>
      <c r="O886" s="345">
        <v>43125</v>
      </c>
      <c r="P886" s="345">
        <v>43125</v>
      </c>
    </row>
    <row r="887" spans="1:16" ht="14.25">
      <c r="A887" s="339">
        <v>2018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4"/>
        <v>1</v>
      </c>
      <c r="L887" s="342">
        <v>0</v>
      </c>
      <c r="M887" s="343">
        <v>2018</v>
      </c>
      <c r="N887" s="344">
        <v>0</v>
      </c>
      <c r="O887" s="345">
        <v>43125</v>
      </c>
      <c r="P887" s="345">
        <v>43125</v>
      </c>
    </row>
    <row r="888" spans="1:16" ht="14.25">
      <c r="A888" s="339">
        <v>2018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4"/>
        <v>1</v>
      </c>
      <c r="L888" s="342">
        <v>6</v>
      </c>
      <c r="M888" s="343">
        <v>2024</v>
      </c>
      <c r="N888" s="344">
        <v>0</v>
      </c>
      <c r="O888" s="345">
        <v>43125</v>
      </c>
      <c r="P888" s="345">
        <v>43125</v>
      </c>
    </row>
    <row r="889" spans="1:16" ht="14.25">
      <c r="A889" s="339">
        <v>2018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4"/>
        <v>1</v>
      </c>
      <c r="L889" s="342">
        <v>7</v>
      </c>
      <c r="M889" s="343">
        <v>2025</v>
      </c>
      <c r="N889" s="344">
        <v>0</v>
      </c>
      <c r="O889" s="345">
        <v>43125</v>
      </c>
      <c r="P889" s="345">
        <v>43125</v>
      </c>
    </row>
    <row r="890" spans="1:16" ht="14.25">
      <c r="A890" s="339">
        <v>2018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4"/>
        <v>1</v>
      </c>
      <c r="L890" s="342">
        <v>3</v>
      </c>
      <c r="M890" s="343">
        <v>2021</v>
      </c>
      <c r="N890" s="344">
        <v>0</v>
      </c>
      <c r="O890" s="345">
        <v>43125</v>
      </c>
      <c r="P890" s="345">
        <v>43125</v>
      </c>
    </row>
    <row r="891" spans="1:16" ht="14.25">
      <c r="A891" s="339">
        <v>2018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4"/>
        <v>1</v>
      </c>
      <c r="L891" s="342">
        <v>2</v>
      </c>
      <c r="M891" s="343">
        <v>2020</v>
      </c>
      <c r="N891" s="344">
        <v>0</v>
      </c>
      <c r="O891" s="345">
        <v>43125</v>
      </c>
      <c r="P891" s="345">
        <v>43125</v>
      </c>
    </row>
    <row r="892" spans="1:16" ht="14.25">
      <c r="A892" s="339">
        <v>2018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4"/>
        <v>1</v>
      </c>
      <c r="L892" s="342">
        <v>4</v>
      </c>
      <c r="M892" s="343">
        <v>2022</v>
      </c>
      <c r="N892" s="344">
        <v>0</v>
      </c>
      <c r="O892" s="345">
        <v>43125</v>
      </c>
      <c r="P892" s="345">
        <v>43125</v>
      </c>
    </row>
    <row r="893" spans="1:16" ht="14.25">
      <c r="A893" s="339">
        <v>2018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4"/>
        <v>1</v>
      </c>
      <c r="L893" s="342">
        <v>8</v>
      </c>
      <c r="M893" s="343">
        <v>2026</v>
      </c>
      <c r="N893" s="344">
        <v>0</v>
      </c>
      <c r="O893" s="345">
        <v>43125</v>
      </c>
      <c r="P893" s="345">
        <v>43125</v>
      </c>
    </row>
    <row r="894" spans="1:16" ht="14.25">
      <c r="A894" s="339">
        <v>2018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4"/>
        <v>1</v>
      </c>
      <c r="L894" s="342">
        <v>5</v>
      </c>
      <c r="M894" s="343">
        <v>2023</v>
      </c>
      <c r="N894" s="344">
        <v>0</v>
      </c>
      <c r="O894" s="345">
        <v>43125</v>
      </c>
      <c r="P894" s="345">
        <v>43125</v>
      </c>
    </row>
    <row r="895" spans="1:16" ht="14.25">
      <c r="A895" s="339">
        <v>2018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540</v>
      </c>
      <c r="H895" s="341" t="s">
        <v>140</v>
      </c>
      <c r="I895" s="341" t="s">
        <v>484</v>
      </c>
      <c r="J895" s="341" t="s">
        <v>141</v>
      </c>
      <c r="K895" s="342" t="b">
        <f aca="true" t="shared" si="35" ref="K895:K912">FALSE</f>
        <v>0</v>
      </c>
      <c r="L895" s="342">
        <v>7</v>
      </c>
      <c r="M895" s="343">
        <v>2025</v>
      </c>
      <c r="N895" s="344">
        <v>1197</v>
      </c>
      <c r="O895" s="345">
        <v>43125</v>
      </c>
      <c r="P895" s="345">
        <v>43125</v>
      </c>
    </row>
    <row r="896" spans="1:16" ht="14.25">
      <c r="A896" s="339">
        <v>2018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t="shared" si="35"/>
        <v>0</v>
      </c>
      <c r="L896" s="342">
        <v>2</v>
      </c>
      <c r="M896" s="343">
        <v>2020</v>
      </c>
      <c r="N896" s="344">
        <v>358</v>
      </c>
      <c r="O896" s="345">
        <v>43125</v>
      </c>
      <c r="P896" s="345">
        <v>43125</v>
      </c>
    </row>
    <row r="897" spans="1:16" ht="14.25">
      <c r="A897" s="339">
        <v>2018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5"/>
        <v>0</v>
      </c>
      <c r="L897" s="342">
        <v>0</v>
      </c>
      <c r="M897" s="343">
        <v>2018</v>
      </c>
      <c r="N897" s="344">
        <v>214</v>
      </c>
      <c r="O897" s="345">
        <v>43125</v>
      </c>
      <c r="P897" s="345">
        <v>43125</v>
      </c>
    </row>
    <row r="898" spans="1:16" ht="14.25">
      <c r="A898" s="339">
        <v>2018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5"/>
        <v>0</v>
      </c>
      <c r="L898" s="342">
        <v>1</v>
      </c>
      <c r="M898" s="343">
        <v>2019</v>
      </c>
      <c r="N898" s="344">
        <v>179</v>
      </c>
      <c r="O898" s="345">
        <v>43125</v>
      </c>
      <c r="P898" s="345">
        <v>43125</v>
      </c>
    </row>
    <row r="899" spans="1:16" ht="14.25">
      <c r="A899" s="339">
        <v>2018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5"/>
        <v>0</v>
      </c>
      <c r="L899" s="342">
        <v>3</v>
      </c>
      <c r="M899" s="343">
        <v>2021</v>
      </c>
      <c r="N899" s="344">
        <v>597</v>
      </c>
      <c r="O899" s="345">
        <v>43125</v>
      </c>
      <c r="P899" s="345">
        <v>43125</v>
      </c>
    </row>
    <row r="900" spans="1:16" ht="14.25">
      <c r="A900" s="339">
        <v>2018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5"/>
        <v>0</v>
      </c>
      <c r="L900" s="342">
        <v>8</v>
      </c>
      <c r="M900" s="343">
        <v>2026</v>
      </c>
      <c r="N900" s="344">
        <v>1339</v>
      </c>
      <c r="O900" s="345">
        <v>43125</v>
      </c>
      <c r="P900" s="345">
        <v>43125</v>
      </c>
    </row>
    <row r="901" spans="1:16" ht="14.25">
      <c r="A901" s="339">
        <v>2018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5"/>
        <v>0</v>
      </c>
      <c r="L901" s="342">
        <v>6</v>
      </c>
      <c r="M901" s="343">
        <v>2024</v>
      </c>
      <c r="N901" s="344">
        <v>969</v>
      </c>
      <c r="O901" s="345">
        <v>43125</v>
      </c>
      <c r="P901" s="345">
        <v>43125</v>
      </c>
    </row>
    <row r="902" spans="1:16" ht="14.25">
      <c r="A902" s="339">
        <v>2018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5"/>
        <v>0</v>
      </c>
      <c r="L902" s="342">
        <v>5</v>
      </c>
      <c r="M902" s="343">
        <v>2023</v>
      </c>
      <c r="N902" s="344">
        <v>552</v>
      </c>
      <c r="O902" s="345">
        <v>43125</v>
      </c>
      <c r="P902" s="345">
        <v>43125</v>
      </c>
    </row>
    <row r="903" spans="1:16" ht="14.25">
      <c r="A903" s="339">
        <v>2018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5"/>
        <v>0</v>
      </c>
      <c r="L903" s="342">
        <v>4</v>
      </c>
      <c r="M903" s="343">
        <v>2022</v>
      </c>
      <c r="N903" s="344">
        <v>671</v>
      </c>
      <c r="O903" s="345">
        <v>43125</v>
      </c>
      <c r="P903" s="345">
        <v>43125</v>
      </c>
    </row>
    <row r="904" spans="1:16" ht="14.25">
      <c r="A904" s="339">
        <v>2018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184</v>
      </c>
      <c r="H904" s="341" t="s">
        <v>62</v>
      </c>
      <c r="I904" s="341"/>
      <c r="J904" s="341" t="s">
        <v>63</v>
      </c>
      <c r="K904" s="342" t="b">
        <f t="shared" si="35"/>
        <v>0</v>
      </c>
      <c r="L904" s="342">
        <v>1</v>
      </c>
      <c r="M904" s="343">
        <v>2019</v>
      </c>
      <c r="N904" s="344">
        <v>0</v>
      </c>
      <c r="O904" s="345">
        <v>43125</v>
      </c>
      <c r="P904" s="345">
        <v>43125</v>
      </c>
    </row>
    <row r="905" spans="1:16" ht="14.25">
      <c r="A905" s="339">
        <v>2018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5"/>
        <v>0</v>
      </c>
      <c r="L905" s="342">
        <v>6</v>
      </c>
      <c r="M905" s="343">
        <v>2024</v>
      </c>
      <c r="N905" s="344">
        <v>0</v>
      </c>
      <c r="O905" s="345">
        <v>43125</v>
      </c>
      <c r="P905" s="345">
        <v>43125</v>
      </c>
    </row>
    <row r="906" spans="1:16" ht="14.25">
      <c r="A906" s="339">
        <v>2018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5"/>
        <v>0</v>
      </c>
      <c r="L906" s="342">
        <v>5</v>
      </c>
      <c r="M906" s="343">
        <v>2023</v>
      </c>
      <c r="N906" s="344">
        <v>0</v>
      </c>
      <c r="O906" s="345">
        <v>43125</v>
      </c>
      <c r="P906" s="345">
        <v>43125</v>
      </c>
    </row>
    <row r="907" spans="1:16" ht="14.25">
      <c r="A907" s="339">
        <v>2018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5"/>
        <v>0</v>
      </c>
      <c r="L907" s="342">
        <v>0</v>
      </c>
      <c r="M907" s="343">
        <v>2018</v>
      </c>
      <c r="N907" s="344">
        <v>0</v>
      </c>
      <c r="O907" s="345">
        <v>43125</v>
      </c>
      <c r="P907" s="345">
        <v>43125</v>
      </c>
    </row>
    <row r="908" spans="1:16" ht="14.25">
      <c r="A908" s="339">
        <v>2018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5"/>
        <v>0</v>
      </c>
      <c r="L908" s="342">
        <v>4</v>
      </c>
      <c r="M908" s="343">
        <v>2022</v>
      </c>
      <c r="N908" s="344">
        <v>0</v>
      </c>
      <c r="O908" s="345">
        <v>43125</v>
      </c>
      <c r="P908" s="345">
        <v>43125</v>
      </c>
    </row>
    <row r="909" spans="1:16" ht="14.25">
      <c r="A909" s="339">
        <v>2018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5"/>
        <v>0</v>
      </c>
      <c r="L909" s="342">
        <v>8</v>
      </c>
      <c r="M909" s="343">
        <v>2026</v>
      </c>
      <c r="N909" s="344">
        <v>0</v>
      </c>
      <c r="O909" s="345">
        <v>43125</v>
      </c>
      <c r="P909" s="345">
        <v>43125</v>
      </c>
    </row>
    <row r="910" spans="1:16" ht="14.25">
      <c r="A910" s="339">
        <v>2018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5"/>
        <v>0</v>
      </c>
      <c r="L910" s="342">
        <v>2</v>
      </c>
      <c r="M910" s="343">
        <v>2020</v>
      </c>
      <c r="N910" s="344">
        <v>0</v>
      </c>
      <c r="O910" s="345">
        <v>43125</v>
      </c>
      <c r="P910" s="345">
        <v>43125</v>
      </c>
    </row>
    <row r="911" spans="1:16" ht="14.25">
      <c r="A911" s="339">
        <v>2018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5"/>
        <v>0</v>
      </c>
      <c r="L911" s="342">
        <v>7</v>
      </c>
      <c r="M911" s="343">
        <v>2025</v>
      </c>
      <c r="N911" s="344">
        <v>0</v>
      </c>
      <c r="O911" s="345">
        <v>43125</v>
      </c>
      <c r="P911" s="345">
        <v>43125</v>
      </c>
    </row>
    <row r="912" spans="1:16" ht="14.25">
      <c r="A912" s="339">
        <v>2018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5"/>
        <v>0</v>
      </c>
      <c r="L912" s="342">
        <v>3</v>
      </c>
      <c r="M912" s="343">
        <v>2021</v>
      </c>
      <c r="N912" s="344">
        <v>0</v>
      </c>
      <c r="O912" s="345">
        <v>43125</v>
      </c>
      <c r="P912" s="345">
        <v>43125</v>
      </c>
    </row>
    <row r="913" spans="1:16" ht="14.25">
      <c r="A913" s="339">
        <v>2018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590</v>
      </c>
      <c r="H913" s="341">
        <v>11.2</v>
      </c>
      <c r="I913" s="341"/>
      <c r="J913" s="341" t="s">
        <v>152</v>
      </c>
      <c r="K913" s="342" t="b">
        <f aca="true" t="shared" si="36" ref="K913:K921">TRUE</f>
        <v>1</v>
      </c>
      <c r="L913" s="342">
        <v>1</v>
      </c>
      <c r="M913" s="343">
        <v>2019</v>
      </c>
      <c r="N913" s="344">
        <v>3680000</v>
      </c>
      <c r="O913" s="345">
        <v>43125</v>
      </c>
      <c r="P913" s="345">
        <v>43125</v>
      </c>
    </row>
    <row r="914" spans="1:16" ht="14.25">
      <c r="A914" s="339">
        <v>2018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t="shared" si="36"/>
        <v>1</v>
      </c>
      <c r="L914" s="342">
        <v>5</v>
      </c>
      <c r="M914" s="343">
        <v>2023</v>
      </c>
      <c r="N914" s="344">
        <v>0</v>
      </c>
      <c r="O914" s="345">
        <v>43125</v>
      </c>
      <c r="P914" s="345">
        <v>43125</v>
      </c>
    </row>
    <row r="915" spans="1:16" ht="14.25">
      <c r="A915" s="339">
        <v>2018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6"/>
        <v>1</v>
      </c>
      <c r="L915" s="342">
        <v>3</v>
      </c>
      <c r="M915" s="343">
        <v>2021</v>
      </c>
      <c r="N915" s="344">
        <v>3820000</v>
      </c>
      <c r="O915" s="345">
        <v>43125</v>
      </c>
      <c r="P915" s="345">
        <v>43125</v>
      </c>
    </row>
    <row r="916" spans="1:16" ht="14.25">
      <c r="A916" s="339">
        <v>2018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6"/>
        <v>1</v>
      </c>
      <c r="L916" s="342">
        <v>8</v>
      </c>
      <c r="M916" s="343">
        <v>2026</v>
      </c>
      <c r="N916" s="344">
        <v>0</v>
      </c>
      <c r="O916" s="345">
        <v>43125</v>
      </c>
      <c r="P916" s="345">
        <v>43125</v>
      </c>
    </row>
    <row r="917" spans="1:16" ht="14.25">
      <c r="A917" s="339">
        <v>2018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6"/>
        <v>1</v>
      </c>
      <c r="L917" s="342">
        <v>6</v>
      </c>
      <c r="M917" s="343">
        <v>2024</v>
      </c>
      <c r="N917" s="344">
        <v>0</v>
      </c>
      <c r="O917" s="345">
        <v>43125</v>
      </c>
      <c r="P917" s="345">
        <v>43125</v>
      </c>
    </row>
    <row r="918" spans="1:16" ht="14.25">
      <c r="A918" s="339">
        <v>2018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6"/>
        <v>1</v>
      </c>
      <c r="L918" s="342">
        <v>0</v>
      </c>
      <c r="M918" s="343">
        <v>2018</v>
      </c>
      <c r="N918" s="344">
        <v>3665576</v>
      </c>
      <c r="O918" s="345">
        <v>43125</v>
      </c>
      <c r="P918" s="345">
        <v>43125</v>
      </c>
    </row>
    <row r="919" spans="1:16" ht="14.25">
      <c r="A919" s="339">
        <v>2018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6"/>
        <v>1</v>
      </c>
      <c r="L919" s="342">
        <v>7</v>
      </c>
      <c r="M919" s="343">
        <v>2025</v>
      </c>
      <c r="N919" s="344">
        <v>0</v>
      </c>
      <c r="O919" s="345">
        <v>43125</v>
      </c>
      <c r="P919" s="345">
        <v>43125</v>
      </c>
    </row>
    <row r="920" spans="1:16" ht="14.25">
      <c r="A920" s="339">
        <v>2018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6"/>
        <v>1</v>
      </c>
      <c r="L920" s="342">
        <v>2</v>
      </c>
      <c r="M920" s="343">
        <v>2020</v>
      </c>
      <c r="N920" s="344">
        <v>3750000</v>
      </c>
      <c r="O920" s="345">
        <v>43125</v>
      </c>
      <c r="P920" s="345">
        <v>43125</v>
      </c>
    </row>
    <row r="921" spans="1:16" ht="14.25">
      <c r="A921" s="339">
        <v>2018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6"/>
        <v>1</v>
      </c>
      <c r="L921" s="342">
        <v>4</v>
      </c>
      <c r="M921" s="343">
        <v>2022</v>
      </c>
      <c r="N921" s="344">
        <v>0</v>
      </c>
      <c r="O921" s="345">
        <v>43125</v>
      </c>
      <c r="P921" s="345">
        <v>43125</v>
      </c>
    </row>
    <row r="922" spans="1:16" ht="14.25">
      <c r="A922" s="339">
        <v>2018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7" ref="K922:K939">FALSE</f>
        <v>0</v>
      </c>
      <c r="L922" s="342">
        <v>8</v>
      </c>
      <c r="M922" s="343">
        <v>2026</v>
      </c>
      <c r="N922" s="344">
        <v>0</v>
      </c>
      <c r="O922" s="345">
        <v>43125</v>
      </c>
      <c r="P922" s="345">
        <v>43125</v>
      </c>
    </row>
    <row r="923" spans="1:16" ht="14.25">
      <c r="A923" s="339">
        <v>2018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7"/>
        <v>0</v>
      </c>
      <c r="L923" s="342">
        <v>7</v>
      </c>
      <c r="M923" s="343">
        <v>2025</v>
      </c>
      <c r="N923" s="344">
        <v>0</v>
      </c>
      <c r="O923" s="345">
        <v>43125</v>
      </c>
      <c r="P923" s="345">
        <v>43125</v>
      </c>
    </row>
    <row r="924" spans="1:16" ht="14.25">
      <c r="A924" s="339">
        <v>2018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7"/>
        <v>0</v>
      </c>
      <c r="L924" s="342">
        <v>6</v>
      </c>
      <c r="M924" s="343">
        <v>2024</v>
      </c>
      <c r="N924" s="344">
        <v>0</v>
      </c>
      <c r="O924" s="345">
        <v>43125</v>
      </c>
      <c r="P924" s="345">
        <v>43125</v>
      </c>
    </row>
    <row r="925" spans="1:16" ht="14.25">
      <c r="A925" s="339">
        <v>2018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7"/>
        <v>0</v>
      </c>
      <c r="L925" s="342">
        <v>4</v>
      </c>
      <c r="M925" s="343">
        <v>2022</v>
      </c>
      <c r="N925" s="344">
        <v>0</v>
      </c>
      <c r="O925" s="345">
        <v>43125</v>
      </c>
      <c r="P925" s="345">
        <v>43125</v>
      </c>
    </row>
    <row r="926" spans="1:16" ht="14.25">
      <c r="A926" s="339">
        <v>2018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7"/>
        <v>0</v>
      </c>
      <c r="L926" s="342">
        <v>1</v>
      </c>
      <c r="M926" s="343">
        <v>2019</v>
      </c>
      <c r="N926" s="344">
        <v>1173704.15</v>
      </c>
      <c r="O926" s="345">
        <v>43125</v>
      </c>
      <c r="P926" s="345">
        <v>43125</v>
      </c>
    </row>
    <row r="927" spans="1:16" ht="14.25">
      <c r="A927" s="339">
        <v>2018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7"/>
        <v>0</v>
      </c>
      <c r="L927" s="342">
        <v>5</v>
      </c>
      <c r="M927" s="343">
        <v>2023</v>
      </c>
      <c r="N927" s="344">
        <v>0</v>
      </c>
      <c r="O927" s="345">
        <v>43125</v>
      </c>
      <c r="P927" s="345">
        <v>43125</v>
      </c>
    </row>
    <row r="928" spans="1:16" ht="14.25">
      <c r="A928" s="339">
        <v>2018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7"/>
        <v>0</v>
      </c>
      <c r="L928" s="342">
        <v>2</v>
      </c>
      <c r="M928" s="343">
        <v>2020</v>
      </c>
      <c r="N928" s="344">
        <v>617916.14</v>
      </c>
      <c r="O928" s="345">
        <v>43125</v>
      </c>
      <c r="P928" s="345">
        <v>43125</v>
      </c>
    </row>
    <row r="929" spans="1:16" ht="14.25">
      <c r="A929" s="339">
        <v>2018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7"/>
        <v>0</v>
      </c>
      <c r="L929" s="342">
        <v>3</v>
      </c>
      <c r="M929" s="343">
        <v>2021</v>
      </c>
      <c r="N929" s="344">
        <v>2977629.81</v>
      </c>
      <c r="O929" s="345">
        <v>43125</v>
      </c>
      <c r="P929" s="345">
        <v>43125</v>
      </c>
    </row>
    <row r="930" spans="1:16" ht="14.25">
      <c r="A930" s="339">
        <v>2018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7"/>
        <v>0</v>
      </c>
      <c r="L930" s="342">
        <v>0</v>
      </c>
      <c r="M930" s="343">
        <v>2018</v>
      </c>
      <c r="N930" s="344">
        <v>4248465.75</v>
      </c>
      <c r="O930" s="345">
        <v>43125</v>
      </c>
      <c r="P930" s="345">
        <v>43125</v>
      </c>
    </row>
    <row r="931" spans="1:16" ht="14.25">
      <c r="A931" s="339">
        <v>2018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7"/>
        <v>0</v>
      </c>
      <c r="L931" s="342">
        <v>8</v>
      </c>
      <c r="M931" s="343">
        <v>2026</v>
      </c>
      <c r="N931" s="344">
        <v>0</v>
      </c>
      <c r="O931" s="345">
        <v>43125</v>
      </c>
      <c r="P931" s="345">
        <v>43125</v>
      </c>
    </row>
    <row r="932" spans="1:16" ht="14.25">
      <c r="A932" s="339">
        <v>2018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7"/>
        <v>0</v>
      </c>
      <c r="L932" s="342">
        <v>7</v>
      </c>
      <c r="M932" s="343">
        <v>2025</v>
      </c>
      <c r="N932" s="344">
        <v>0</v>
      </c>
      <c r="O932" s="345">
        <v>43125</v>
      </c>
      <c r="P932" s="345">
        <v>43125</v>
      </c>
    </row>
    <row r="933" spans="1:16" ht="14.25">
      <c r="A933" s="339">
        <v>2018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7"/>
        <v>0</v>
      </c>
      <c r="L933" s="342">
        <v>4</v>
      </c>
      <c r="M933" s="343">
        <v>2022</v>
      </c>
      <c r="N933" s="344">
        <v>0</v>
      </c>
      <c r="O933" s="345">
        <v>43125</v>
      </c>
      <c r="P933" s="345">
        <v>43125</v>
      </c>
    </row>
    <row r="934" spans="1:16" ht="14.25">
      <c r="A934" s="339">
        <v>2018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7"/>
        <v>0</v>
      </c>
      <c r="L934" s="342">
        <v>2</v>
      </c>
      <c r="M934" s="343">
        <v>2020</v>
      </c>
      <c r="N934" s="344">
        <v>0</v>
      </c>
      <c r="O934" s="345">
        <v>43125</v>
      </c>
      <c r="P934" s="345">
        <v>43125</v>
      </c>
    </row>
    <row r="935" spans="1:16" ht="14.25">
      <c r="A935" s="339">
        <v>2018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7"/>
        <v>0</v>
      </c>
      <c r="L935" s="342">
        <v>6</v>
      </c>
      <c r="M935" s="343">
        <v>2024</v>
      </c>
      <c r="N935" s="344">
        <v>0</v>
      </c>
      <c r="O935" s="345">
        <v>43125</v>
      </c>
      <c r="P935" s="345">
        <v>43125</v>
      </c>
    </row>
    <row r="936" spans="1:16" ht="14.25">
      <c r="A936" s="339">
        <v>2018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7"/>
        <v>0</v>
      </c>
      <c r="L936" s="342">
        <v>3</v>
      </c>
      <c r="M936" s="343">
        <v>2021</v>
      </c>
      <c r="N936" s="344">
        <v>0</v>
      </c>
      <c r="O936" s="345">
        <v>43125</v>
      </c>
      <c r="P936" s="345">
        <v>43125</v>
      </c>
    </row>
    <row r="937" spans="1:16" ht="14.25">
      <c r="A937" s="339">
        <v>2018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7"/>
        <v>0</v>
      </c>
      <c r="L937" s="342">
        <v>0</v>
      </c>
      <c r="M937" s="343">
        <v>2018</v>
      </c>
      <c r="N937" s="344">
        <v>0</v>
      </c>
      <c r="O937" s="345">
        <v>43125</v>
      </c>
      <c r="P937" s="345">
        <v>43125</v>
      </c>
    </row>
    <row r="938" spans="1:16" ht="14.25">
      <c r="A938" s="339">
        <v>2018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7"/>
        <v>0</v>
      </c>
      <c r="L938" s="342">
        <v>1</v>
      </c>
      <c r="M938" s="343">
        <v>2019</v>
      </c>
      <c r="N938" s="344">
        <v>0</v>
      </c>
      <c r="O938" s="345">
        <v>43125</v>
      </c>
      <c r="P938" s="345">
        <v>43125</v>
      </c>
    </row>
    <row r="939" spans="1:16" ht="14.25">
      <c r="A939" s="339">
        <v>2018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7"/>
        <v>0</v>
      </c>
      <c r="L939" s="342">
        <v>5</v>
      </c>
      <c r="M939" s="343">
        <v>2023</v>
      </c>
      <c r="N939" s="344">
        <v>0</v>
      </c>
      <c r="O939" s="345">
        <v>43125</v>
      </c>
      <c r="P939" s="345">
        <v>43125</v>
      </c>
    </row>
    <row r="940" spans="1:16" ht="14.25">
      <c r="A940" s="339">
        <v>2018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8" ref="K940:K966">TRUE</f>
        <v>1</v>
      </c>
      <c r="L940" s="342">
        <v>6</v>
      </c>
      <c r="M940" s="343">
        <v>2024</v>
      </c>
      <c r="N940" s="344">
        <v>0</v>
      </c>
      <c r="O940" s="345">
        <v>43125</v>
      </c>
      <c r="P940" s="345">
        <v>43125</v>
      </c>
    </row>
    <row r="941" spans="1:16" ht="14.25">
      <c r="A941" s="339">
        <v>2018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8"/>
        <v>1</v>
      </c>
      <c r="L941" s="342">
        <v>4</v>
      </c>
      <c r="M941" s="343">
        <v>2022</v>
      </c>
      <c r="N941" s="344">
        <v>0</v>
      </c>
      <c r="O941" s="345">
        <v>43125</v>
      </c>
      <c r="P941" s="345">
        <v>43125</v>
      </c>
    </row>
    <row r="942" spans="1:16" ht="14.25">
      <c r="A942" s="339">
        <v>2018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8"/>
        <v>1</v>
      </c>
      <c r="L942" s="342">
        <v>1</v>
      </c>
      <c r="M942" s="343">
        <v>2019</v>
      </c>
      <c r="N942" s="344">
        <v>0</v>
      </c>
      <c r="O942" s="345">
        <v>43125</v>
      </c>
      <c r="P942" s="345">
        <v>43125</v>
      </c>
    </row>
    <row r="943" spans="1:16" ht="14.25">
      <c r="A943" s="339">
        <v>2018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8"/>
        <v>1</v>
      </c>
      <c r="L943" s="342">
        <v>0</v>
      </c>
      <c r="M943" s="343">
        <v>2018</v>
      </c>
      <c r="N943" s="344">
        <v>0</v>
      </c>
      <c r="O943" s="345">
        <v>43125</v>
      </c>
      <c r="P943" s="345">
        <v>43125</v>
      </c>
    </row>
    <row r="944" spans="1:16" ht="14.25">
      <c r="A944" s="339">
        <v>2018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8"/>
        <v>1</v>
      </c>
      <c r="L944" s="342">
        <v>8</v>
      </c>
      <c r="M944" s="343">
        <v>2026</v>
      </c>
      <c r="N944" s="344">
        <v>0</v>
      </c>
      <c r="O944" s="345">
        <v>43125</v>
      </c>
      <c r="P944" s="345">
        <v>43125</v>
      </c>
    </row>
    <row r="945" spans="1:16" ht="14.25">
      <c r="A945" s="339">
        <v>2018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8"/>
        <v>1</v>
      </c>
      <c r="L945" s="342">
        <v>2</v>
      </c>
      <c r="M945" s="343">
        <v>2020</v>
      </c>
      <c r="N945" s="344">
        <v>0</v>
      </c>
      <c r="O945" s="345">
        <v>43125</v>
      </c>
      <c r="P945" s="345">
        <v>43125</v>
      </c>
    </row>
    <row r="946" spans="1:16" ht="14.25">
      <c r="A946" s="339">
        <v>2018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8"/>
        <v>1</v>
      </c>
      <c r="L946" s="342">
        <v>5</v>
      </c>
      <c r="M946" s="343">
        <v>2023</v>
      </c>
      <c r="N946" s="344">
        <v>0</v>
      </c>
      <c r="O946" s="345">
        <v>43125</v>
      </c>
      <c r="P946" s="345">
        <v>43125</v>
      </c>
    </row>
    <row r="947" spans="1:16" ht="14.25">
      <c r="A947" s="339">
        <v>2018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8"/>
        <v>1</v>
      </c>
      <c r="L947" s="342">
        <v>3</v>
      </c>
      <c r="M947" s="343">
        <v>2021</v>
      </c>
      <c r="N947" s="344">
        <v>0</v>
      </c>
      <c r="O947" s="345">
        <v>43125</v>
      </c>
      <c r="P947" s="345">
        <v>43125</v>
      </c>
    </row>
    <row r="948" spans="1:16" ht="14.25">
      <c r="A948" s="339">
        <v>2018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8"/>
        <v>1</v>
      </c>
      <c r="L948" s="342">
        <v>7</v>
      </c>
      <c r="M948" s="343">
        <v>2025</v>
      </c>
      <c r="N948" s="344">
        <v>0</v>
      </c>
      <c r="O948" s="345">
        <v>43125</v>
      </c>
      <c r="P948" s="345">
        <v>43125</v>
      </c>
    </row>
    <row r="949" spans="1:16" ht="14.25">
      <c r="A949" s="339">
        <v>2018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8"/>
        <v>1</v>
      </c>
      <c r="L949" s="342">
        <v>4</v>
      </c>
      <c r="M949" s="343">
        <v>2022</v>
      </c>
      <c r="N949" s="344">
        <v>0</v>
      </c>
      <c r="O949" s="345">
        <v>43125</v>
      </c>
      <c r="P949" s="345">
        <v>43125</v>
      </c>
    </row>
    <row r="950" spans="1:16" ht="14.25">
      <c r="A950" s="339">
        <v>2018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8"/>
        <v>1</v>
      </c>
      <c r="L950" s="342">
        <v>6</v>
      </c>
      <c r="M950" s="343">
        <v>2024</v>
      </c>
      <c r="N950" s="344">
        <v>0</v>
      </c>
      <c r="O950" s="345">
        <v>43125</v>
      </c>
      <c r="P950" s="345">
        <v>43125</v>
      </c>
    </row>
    <row r="951" spans="1:16" ht="14.25">
      <c r="A951" s="339">
        <v>2018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8"/>
        <v>1</v>
      </c>
      <c r="L951" s="342">
        <v>5</v>
      </c>
      <c r="M951" s="343">
        <v>2023</v>
      </c>
      <c r="N951" s="344">
        <v>0</v>
      </c>
      <c r="O951" s="345">
        <v>43125</v>
      </c>
      <c r="P951" s="345">
        <v>43125</v>
      </c>
    </row>
    <row r="952" spans="1:16" ht="14.25">
      <c r="A952" s="339">
        <v>2018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8"/>
        <v>1</v>
      </c>
      <c r="L952" s="342">
        <v>0</v>
      </c>
      <c r="M952" s="343">
        <v>2018</v>
      </c>
      <c r="N952" s="344">
        <v>0</v>
      </c>
      <c r="O952" s="345">
        <v>43125</v>
      </c>
      <c r="P952" s="345">
        <v>43125</v>
      </c>
    </row>
    <row r="953" spans="1:16" ht="14.25">
      <c r="A953" s="339">
        <v>2018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8"/>
        <v>1</v>
      </c>
      <c r="L953" s="342">
        <v>7</v>
      </c>
      <c r="M953" s="343">
        <v>2025</v>
      </c>
      <c r="N953" s="344">
        <v>0</v>
      </c>
      <c r="O953" s="345">
        <v>43125</v>
      </c>
      <c r="P953" s="345">
        <v>43125</v>
      </c>
    </row>
    <row r="954" spans="1:16" ht="14.25">
      <c r="A954" s="339">
        <v>2018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8"/>
        <v>1</v>
      </c>
      <c r="L954" s="342">
        <v>8</v>
      </c>
      <c r="M954" s="343">
        <v>2026</v>
      </c>
      <c r="N954" s="344">
        <v>0</v>
      </c>
      <c r="O954" s="345">
        <v>43125</v>
      </c>
      <c r="P954" s="345">
        <v>43125</v>
      </c>
    </row>
    <row r="955" spans="1:16" ht="14.25">
      <c r="A955" s="339">
        <v>2018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8"/>
        <v>1</v>
      </c>
      <c r="L955" s="342">
        <v>1</v>
      </c>
      <c r="M955" s="343">
        <v>2019</v>
      </c>
      <c r="N955" s="344">
        <v>0</v>
      </c>
      <c r="O955" s="345">
        <v>43125</v>
      </c>
      <c r="P955" s="345">
        <v>43125</v>
      </c>
    </row>
    <row r="956" spans="1:16" ht="14.25">
      <c r="A956" s="339">
        <v>2018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8"/>
        <v>1</v>
      </c>
      <c r="L956" s="342">
        <v>3</v>
      </c>
      <c r="M956" s="343">
        <v>2021</v>
      </c>
      <c r="N956" s="344">
        <v>0</v>
      </c>
      <c r="O956" s="345">
        <v>43125</v>
      </c>
      <c r="P956" s="345">
        <v>43125</v>
      </c>
    </row>
    <row r="957" spans="1:16" ht="14.25">
      <c r="A957" s="339">
        <v>2018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8"/>
        <v>1</v>
      </c>
      <c r="L957" s="342">
        <v>2</v>
      </c>
      <c r="M957" s="343">
        <v>2020</v>
      </c>
      <c r="N957" s="344">
        <v>0</v>
      </c>
      <c r="O957" s="345">
        <v>43125</v>
      </c>
      <c r="P957" s="345">
        <v>43125</v>
      </c>
    </row>
    <row r="958" spans="1:16" ht="14.25">
      <c r="A958" s="339">
        <v>2018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8"/>
        <v>1</v>
      </c>
      <c r="L958" s="342">
        <v>5</v>
      </c>
      <c r="M958" s="343">
        <v>2023</v>
      </c>
      <c r="N958" s="344">
        <v>0</v>
      </c>
      <c r="O958" s="345">
        <v>43125</v>
      </c>
      <c r="P958" s="345">
        <v>43125</v>
      </c>
    </row>
    <row r="959" spans="1:16" ht="14.25">
      <c r="A959" s="339">
        <v>2018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8"/>
        <v>1</v>
      </c>
      <c r="L959" s="342">
        <v>7</v>
      </c>
      <c r="M959" s="343">
        <v>2025</v>
      </c>
      <c r="N959" s="344">
        <v>0</v>
      </c>
      <c r="O959" s="345">
        <v>43125</v>
      </c>
      <c r="P959" s="345">
        <v>43125</v>
      </c>
    </row>
    <row r="960" spans="1:16" ht="14.25">
      <c r="A960" s="339">
        <v>2018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8"/>
        <v>1</v>
      </c>
      <c r="L960" s="342">
        <v>4</v>
      </c>
      <c r="M960" s="343">
        <v>2022</v>
      </c>
      <c r="N960" s="344">
        <v>0</v>
      </c>
      <c r="O960" s="345">
        <v>43125</v>
      </c>
      <c r="P960" s="345">
        <v>43125</v>
      </c>
    </row>
    <row r="961" spans="1:16" ht="14.25">
      <c r="A961" s="339">
        <v>2018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8"/>
        <v>1</v>
      </c>
      <c r="L961" s="342">
        <v>8</v>
      </c>
      <c r="M961" s="343">
        <v>2026</v>
      </c>
      <c r="N961" s="344">
        <v>0</v>
      </c>
      <c r="O961" s="345">
        <v>43125</v>
      </c>
      <c r="P961" s="345">
        <v>43125</v>
      </c>
    </row>
    <row r="962" spans="1:16" ht="14.25">
      <c r="A962" s="339">
        <v>2018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8"/>
        <v>1</v>
      </c>
      <c r="L962" s="342">
        <v>3</v>
      </c>
      <c r="M962" s="343">
        <v>2021</v>
      </c>
      <c r="N962" s="344">
        <v>0</v>
      </c>
      <c r="O962" s="345">
        <v>43125</v>
      </c>
      <c r="P962" s="345">
        <v>43125</v>
      </c>
    </row>
    <row r="963" spans="1:16" ht="14.25">
      <c r="A963" s="339">
        <v>2018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8"/>
        <v>1</v>
      </c>
      <c r="L963" s="342">
        <v>0</v>
      </c>
      <c r="M963" s="343">
        <v>2018</v>
      </c>
      <c r="N963" s="344">
        <v>1655000</v>
      </c>
      <c r="O963" s="345">
        <v>43125</v>
      </c>
      <c r="P963" s="345">
        <v>43125</v>
      </c>
    </row>
    <row r="964" spans="1:16" ht="14.25">
      <c r="A964" s="339">
        <v>2018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8"/>
        <v>1</v>
      </c>
      <c r="L964" s="342">
        <v>6</v>
      </c>
      <c r="M964" s="343">
        <v>2024</v>
      </c>
      <c r="N964" s="344">
        <v>0</v>
      </c>
      <c r="O964" s="345">
        <v>43125</v>
      </c>
      <c r="P964" s="345">
        <v>43125</v>
      </c>
    </row>
    <row r="965" spans="1:16" ht="14.25">
      <c r="A965" s="339">
        <v>2018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8"/>
        <v>1</v>
      </c>
      <c r="L965" s="342">
        <v>2</v>
      </c>
      <c r="M965" s="343">
        <v>2020</v>
      </c>
      <c r="N965" s="344">
        <v>0</v>
      </c>
      <c r="O965" s="345">
        <v>43125</v>
      </c>
      <c r="P965" s="345">
        <v>43125</v>
      </c>
    </row>
    <row r="966" spans="1:16" ht="14.25">
      <c r="A966" s="339">
        <v>2018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8"/>
        <v>1</v>
      </c>
      <c r="L966" s="342">
        <v>1</v>
      </c>
      <c r="M966" s="343">
        <v>2019</v>
      </c>
      <c r="N966" s="344">
        <v>4950000</v>
      </c>
      <c r="O966" s="345">
        <v>43125</v>
      </c>
      <c r="P966" s="345">
        <v>43125</v>
      </c>
    </row>
    <row r="967" spans="1:16" ht="14.25">
      <c r="A967" s="339">
        <v>2018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39" ref="K967:K975">FALSE</f>
        <v>0</v>
      </c>
      <c r="L967" s="342">
        <v>6</v>
      </c>
      <c r="M967" s="343">
        <v>2024</v>
      </c>
      <c r="N967" s="344">
        <v>0</v>
      </c>
      <c r="O967" s="345">
        <v>43125</v>
      </c>
      <c r="P967" s="345">
        <v>43125</v>
      </c>
    </row>
    <row r="968" spans="1:16" ht="14.25">
      <c r="A968" s="339">
        <v>2018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39"/>
        <v>0</v>
      </c>
      <c r="L968" s="342">
        <v>7</v>
      </c>
      <c r="M968" s="343">
        <v>2025</v>
      </c>
      <c r="N968" s="344">
        <v>0</v>
      </c>
      <c r="O968" s="345">
        <v>43125</v>
      </c>
      <c r="P968" s="345">
        <v>43125</v>
      </c>
    </row>
    <row r="969" spans="1:16" ht="14.25">
      <c r="A969" s="339">
        <v>2018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39"/>
        <v>0</v>
      </c>
      <c r="L969" s="342">
        <v>3</v>
      </c>
      <c r="M969" s="343">
        <v>2021</v>
      </c>
      <c r="N969" s="344">
        <v>0</v>
      </c>
      <c r="O969" s="345">
        <v>43125</v>
      </c>
      <c r="P969" s="345">
        <v>43125</v>
      </c>
    </row>
    <row r="970" spans="1:16" ht="14.25">
      <c r="A970" s="339">
        <v>2018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39"/>
        <v>0</v>
      </c>
      <c r="L970" s="342">
        <v>0</v>
      </c>
      <c r="M970" s="343">
        <v>2018</v>
      </c>
      <c r="N970" s="344">
        <v>0</v>
      </c>
      <c r="O970" s="345">
        <v>43125</v>
      </c>
      <c r="P970" s="345">
        <v>43125</v>
      </c>
    </row>
    <row r="971" spans="1:16" ht="14.25">
      <c r="A971" s="339">
        <v>2018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39"/>
        <v>0</v>
      </c>
      <c r="L971" s="342">
        <v>4</v>
      </c>
      <c r="M971" s="343">
        <v>2022</v>
      </c>
      <c r="N971" s="344">
        <v>0</v>
      </c>
      <c r="O971" s="345">
        <v>43125</v>
      </c>
      <c r="P971" s="345">
        <v>43125</v>
      </c>
    </row>
    <row r="972" spans="1:16" ht="14.25">
      <c r="A972" s="339">
        <v>2018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39"/>
        <v>0</v>
      </c>
      <c r="L972" s="342">
        <v>5</v>
      </c>
      <c r="M972" s="343">
        <v>2023</v>
      </c>
      <c r="N972" s="344">
        <v>0</v>
      </c>
      <c r="O972" s="345">
        <v>43125</v>
      </c>
      <c r="P972" s="345">
        <v>43125</v>
      </c>
    </row>
    <row r="973" spans="1:16" ht="14.25">
      <c r="A973" s="339">
        <v>2018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39"/>
        <v>0</v>
      </c>
      <c r="L973" s="342">
        <v>2</v>
      </c>
      <c r="M973" s="343">
        <v>2020</v>
      </c>
      <c r="N973" s="344">
        <v>0</v>
      </c>
      <c r="O973" s="345">
        <v>43125</v>
      </c>
      <c r="P973" s="345">
        <v>43125</v>
      </c>
    </row>
    <row r="974" spans="1:16" ht="14.25">
      <c r="A974" s="339">
        <v>2018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39"/>
        <v>0</v>
      </c>
      <c r="L974" s="342">
        <v>1</v>
      </c>
      <c r="M974" s="343">
        <v>2019</v>
      </c>
      <c r="N974" s="344">
        <v>0</v>
      </c>
      <c r="O974" s="345">
        <v>43125</v>
      </c>
      <c r="P974" s="345">
        <v>43125</v>
      </c>
    </row>
    <row r="975" spans="1:16" ht="14.25">
      <c r="A975" s="339">
        <v>2018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39"/>
        <v>0</v>
      </c>
      <c r="L975" s="342">
        <v>8</v>
      </c>
      <c r="M975" s="343">
        <v>2026</v>
      </c>
      <c r="N975" s="344">
        <v>0</v>
      </c>
      <c r="O975" s="345">
        <v>43125</v>
      </c>
      <c r="P975" s="345">
        <v>43125</v>
      </c>
    </row>
    <row r="976" spans="1:16" ht="14.25">
      <c r="A976" s="339">
        <v>2018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0" ref="K976:K984">TRUE</f>
        <v>1</v>
      </c>
      <c r="L976" s="342">
        <v>2</v>
      </c>
      <c r="M976" s="343">
        <v>2020</v>
      </c>
      <c r="N976" s="344">
        <v>0</v>
      </c>
      <c r="O976" s="345">
        <v>43125</v>
      </c>
      <c r="P976" s="345">
        <v>43125</v>
      </c>
    </row>
    <row r="977" spans="1:16" ht="14.25">
      <c r="A977" s="339">
        <v>2018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0"/>
        <v>1</v>
      </c>
      <c r="L977" s="342">
        <v>0</v>
      </c>
      <c r="M977" s="343">
        <v>2018</v>
      </c>
      <c r="N977" s="344">
        <v>0</v>
      </c>
      <c r="O977" s="345">
        <v>43125</v>
      </c>
      <c r="P977" s="345">
        <v>43125</v>
      </c>
    </row>
    <row r="978" spans="1:16" ht="14.25">
      <c r="A978" s="339">
        <v>2018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0"/>
        <v>1</v>
      </c>
      <c r="L978" s="342">
        <v>7</v>
      </c>
      <c r="M978" s="343">
        <v>2025</v>
      </c>
      <c r="N978" s="344">
        <v>0</v>
      </c>
      <c r="O978" s="345">
        <v>43125</v>
      </c>
      <c r="P978" s="345">
        <v>43125</v>
      </c>
    </row>
    <row r="979" spans="1:16" ht="14.25">
      <c r="A979" s="339">
        <v>2018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0"/>
        <v>1</v>
      </c>
      <c r="L979" s="342">
        <v>1</v>
      </c>
      <c r="M979" s="343">
        <v>2019</v>
      </c>
      <c r="N979" s="344">
        <v>0</v>
      </c>
      <c r="O979" s="345">
        <v>43125</v>
      </c>
      <c r="P979" s="345">
        <v>43125</v>
      </c>
    </row>
    <row r="980" spans="1:16" ht="14.25">
      <c r="A980" s="339">
        <v>2018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0"/>
        <v>1</v>
      </c>
      <c r="L980" s="342">
        <v>3</v>
      </c>
      <c r="M980" s="343">
        <v>2021</v>
      </c>
      <c r="N980" s="344">
        <v>0</v>
      </c>
      <c r="O980" s="345">
        <v>43125</v>
      </c>
      <c r="P980" s="345">
        <v>43125</v>
      </c>
    </row>
    <row r="981" spans="1:16" ht="14.25">
      <c r="A981" s="339">
        <v>2018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0"/>
        <v>1</v>
      </c>
      <c r="L981" s="342">
        <v>4</v>
      </c>
      <c r="M981" s="343">
        <v>2022</v>
      </c>
      <c r="N981" s="344">
        <v>0</v>
      </c>
      <c r="O981" s="345">
        <v>43125</v>
      </c>
      <c r="P981" s="345">
        <v>43125</v>
      </c>
    </row>
    <row r="982" spans="1:16" ht="14.25">
      <c r="A982" s="339">
        <v>2018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0"/>
        <v>1</v>
      </c>
      <c r="L982" s="342">
        <v>6</v>
      </c>
      <c r="M982" s="343">
        <v>2024</v>
      </c>
      <c r="N982" s="344">
        <v>0</v>
      </c>
      <c r="O982" s="345">
        <v>43125</v>
      </c>
      <c r="P982" s="345">
        <v>43125</v>
      </c>
    </row>
    <row r="983" spans="1:16" ht="14.25">
      <c r="A983" s="339">
        <v>2018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0"/>
        <v>1</v>
      </c>
      <c r="L983" s="342">
        <v>5</v>
      </c>
      <c r="M983" s="343">
        <v>2023</v>
      </c>
      <c r="N983" s="344">
        <v>0</v>
      </c>
      <c r="O983" s="345">
        <v>43125</v>
      </c>
      <c r="P983" s="345">
        <v>43125</v>
      </c>
    </row>
    <row r="984" spans="1:16" ht="14.25">
      <c r="A984" s="339">
        <v>2018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0"/>
        <v>1</v>
      </c>
      <c r="L984" s="342">
        <v>8</v>
      </c>
      <c r="M984" s="343">
        <v>2026</v>
      </c>
      <c r="N984" s="344">
        <v>0</v>
      </c>
      <c r="O984" s="345">
        <v>43125</v>
      </c>
      <c r="P984" s="345">
        <v>43125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2018-01-26T12:32:37Z</cp:lastPrinted>
  <dcterms:created xsi:type="dcterms:W3CDTF">2010-09-17T02:30:46Z</dcterms:created>
  <dcterms:modified xsi:type="dcterms:W3CDTF">2018-01-26T12:34:19Z</dcterms:modified>
  <cp:category/>
  <cp:version/>
  <cp:contentType/>
  <cp:contentStatus/>
  <cp:revision>1</cp:revision>
</cp:coreProperties>
</file>